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rujilloea\Desktop\"/>
    </mc:Choice>
  </mc:AlternateContent>
  <xr:revisionPtr revIDLastSave="0" documentId="13_ncr:1_{FD136375-A0F5-4FC5-83DA-19C3FB2F0351}" xr6:coauthVersionLast="47" xr6:coauthVersionMax="47" xr10:uidLastSave="{00000000-0000-0000-0000-000000000000}"/>
  <bookViews>
    <workbookView xWindow="33105" yWindow="2445" windowWidth="16200" windowHeight="9300" tabRatio="533" xr2:uid="{00000000-000D-0000-FFFF-FFFF00000000}"/>
  </bookViews>
  <sheets>
    <sheet name="Form 429 Directions" sheetId="2" r:id="rId1"/>
    <sheet name="Form 429 Example" sheetId="6" r:id="rId2"/>
    <sheet name="Form 429 Blank" sheetId="7" r:id="rId3"/>
    <sheet name="CP52 Checklist" sheetId="8" r:id="rId4"/>
  </sheets>
  <definedNames>
    <definedName name="_xlnm.Print_Area" localSheetId="2">'Form 429 Blank'!$B$1:$S$251</definedName>
    <definedName name="_xlnm.Print_Area" localSheetId="1">'Form 429 Example'!$B$1:$S$251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7" l="1"/>
  <c r="Q16" i="7"/>
  <c r="Q28" i="7" s="1"/>
  <c r="Q16" i="6"/>
  <c r="Q17" i="6"/>
  <c r="Q18" i="6"/>
  <c r="Q19" i="6"/>
  <c r="Q20" i="6"/>
  <c r="Q21" i="6"/>
  <c r="Q22" i="6"/>
  <c r="Q23" i="6"/>
  <c r="Q24" i="6"/>
  <c r="Q25" i="6"/>
  <c r="Q26" i="6"/>
  <c r="Q27" i="6"/>
  <c r="M28" i="7"/>
  <c r="M27" i="7"/>
  <c r="M26" i="7"/>
  <c r="M25" i="7"/>
  <c r="M24" i="7"/>
  <c r="M23" i="7"/>
  <c r="M22" i="7"/>
  <c r="M21" i="7"/>
  <c r="M20" i="7"/>
  <c r="M19" i="7"/>
  <c r="M18" i="7"/>
  <c r="M17" i="7"/>
  <c r="Q21" i="7" l="1"/>
  <c r="Q23" i="7"/>
  <c r="Q24" i="7"/>
  <c r="Q17" i="7"/>
  <c r="Q25" i="7"/>
  <c r="Q18" i="7"/>
  <c r="Q26" i="7"/>
  <c r="Q19" i="7"/>
  <c r="Q27" i="7"/>
  <c r="Q20" i="7"/>
  <c r="Q28" i="6" l="1"/>
  <c r="M28" i="6"/>
  <c r="M27" i="6"/>
  <c r="M26" i="6"/>
  <c r="M25" i="6"/>
  <c r="M24" i="6"/>
  <c r="M23" i="6"/>
  <c r="M22" i="6"/>
  <c r="M21" i="6"/>
  <c r="M20" i="6"/>
  <c r="M19" i="6"/>
  <c r="M18" i="6"/>
  <c r="M17" i="6"/>
  <c r="P251" i="7"/>
  <c r="F251" i="7"/>
  <c r="D251" i="7"/>
  <c r="D250" i="7"/>
  <c r="G209" i="7"/>
  <c r="E209" i="7"/>
  <c r="P208" i="7"/>
  <c r="E208" i="7"/>
  <c r="G175" i="7"/>
  <c r="E175" i="7"/>
  <c r="P174" i="7"/>
  <c r="E174" i="7"/>
  <c r="G132" i="7"/>
  <c r="E132" i="7"/>
  <c r="P131" i="7"/>
  <c r="E131" i="7"/>
  <c r="P89" i="7"/>
  <c r="Q79" i="7"/>
  <c r="H79" i="7"/>
  <c r="H83" i="7" s="1"/>
  <c r="N72" i="7"/>
  <c r="H72" i="7"/>
  <c r="H68" i="7"/>
  <c r="M65" i="7"/>
  <c r="O63" i="7"/>
  <c r="O59" i="7"/>
  <c r="O56" i="7"/>
  <c r="Z52" i="7"/>
  <c r="Z51" i="7"/>
  <c r="L51" i="7"/>
  <c r="L60" i="7" s="1"/>
  <c r="J51" i="7"/>
  <c r="J60" i="7" s="1"/>
  <c r="I51" i="7"/>
  <c r="I60" i="7" s="1"/>
  <c r="H51" i="7"/>
  <c r="H60" i="7" s="1"/>
  <c r="Z50" i="7"/>
  <c r="R50" i="7"/>
  <c r="Z49" i="7"/>
  <c r="Z48" i="7"/>
  <c r="Z47" i="7"/>
  <c r="Z46" i="7"/>
  <c r="B46" i="7"/>
  <c r="Z45" i="7"/>
  <c r="R45" i="7"/>
  <c r="B45" i="7"/>
  <c r="Z44" i="7"/>
  <c r="AG43" i="7"/>
  <c r="AE43" i="7"/>
  <c r="AD43" i="7"/>
  <c r="AC43" i="7"/>
  <c r="AB43" i="7"/>
  <c r="AA43" i="7"/>
  <c r="Z43" i="7"/>
  <c r="Z40" i="7"/>
  <c r="S39" i="7"/>
  <c r="Q33" i="7"/>
  <c r="BD30" i="7"/>
  <c r="BC30" i="7"/>
  <c r="BB30" i="7"/>
  <c r="BA30" i="7"/>
  <c r="AZ30" i="7"/>
  <c r="AY30" i="7"/>
  <c r="P30" i="7"/>
  <c r="BH30" i="7" s="1"/>
  <c r="O30" i="7"/>
  <c r="BG30" i="7" s="1"/>
  <c r="N30" i="7"/>
  <c r="BF30" i="7" s="1"/>
  <c r="U29" i="7"/>
  <c r="AI28" i="7"/>
  <c r="AH28" i="7"/>
  <c r="AG28" i="7"/>
  <c r="AF28" i="7"/>
  <c r="AE28" i="7"/>
  <c r="U28" i="7"/>
  <c r="T28" i="7"/>
  <c r="S28" i="7"/>
  <c r="R28" i="7"/>
  <c r="AI27" i="7"/>
  <c r="AH27" i="7"/>
  <c r="AG27" i="7"/>
  <c r="AF27" i="7"/>
  <c r="AE27" i="7"/>
  <c r="U27" i="7"/>
  <c r="T27" i="7"/>
  <c r="AI26" i="7"/>
  <c r="AH26" i="7"/>
  <c r="AG26" i="7"/>
  <c r="AF26" i="7"/>
  <c r="AE26" i="7"/>
  <c r="U26" i="7"/>
  <c r="T26" i="7"/>
  <c r="S26" i="7"/>
  <c r="R26" i="7"/>
  <c r="AI25" i="7"/>
  <c r="AH25" i="7"/>
  <c r="AG25" i="7"/>
  <c r="AF25" i="7"/>
  <c r="AE25" i="7"/>
  <c r="U25" i="7"/>
  <c r="T25" i="7"/>
  <c r="S25" i="7"/>
  <c r="R25" i="7"/>
  <c r="AI24" i="7"/>
  <c r="AH24" i="7"/>
  <c r="AG24" i="7"/>
  <c r="AF24" i="7"/>
  <c r="AE24" i="7"/>
  <c r="U24" i="7"/>
  <c r="T24" i="7"/>
  <c r="S24" i="7"/>
  <c r="R24" i="7"/>
  <c r="AI23" i="7"/>
  <c r="AH23" i="7"/>
  <c r="AG23" i="7"/>
  <c r="AF23" i="7"/>
  <c r="AE23" i="7"/>
  <c r="U23" i="7"/>
  <c r="T23" i="7"/>
  <c r="S23" i="7"/>
  <c r="R23" i="7"/>
  <c r="AI22" i="7"/>
  <c r="AH22" i="7"/>
  <c r="AG22" i="7"/>
  <c r="AF22" i="7"/>
  <c r="AE22" i="7"/>
  <c r="U22" i="7"/>
  <c r="T22" i="7"/>
  <c r="S22" i="7"/>
  <c r="R22" i="7"/>
  <c r="AI21" i="7"/>
  <c r="AH21" i="7"/>
  <c r="AG21" i="7"/>
  <c r="AF21" i="7"/>
  <c r="U21" i="7"/>
  <c r="T21" i="7"/>
  <c r="S21" i="7"/>
  <c r="R21" i="7"/>
  <c r="AI20" i="7"/>
  <c r="AH20" i="7"/>
  <c r="AG20" i="7"/>
  <c r="U20" i="7"/>
  <c r="T20" i="7"/>
  <c r="S20" i="7"/>
  <c r="R20" i="7"/>
  <c r="U19" i="7"/>
  <c r="T19" i="7"/>
  <c r="AI19" i="7" s="1"/>
  <c r="S19" i="7"/>
  <c r="R19" i="7"/>
  <c r="AI18" i="7"/>
  <c r="U18" i="7"/>
  <c r="T18" i="7"/>
  <c r="S18" i="7"/>
  <c r="R18" i="7"/>
  <c r="U17" i="7"/>
  <c r="T17" i="7"/>
  <c r="S17" i="7"/>
  <c r="M16" i="7"/>
  <c r="P251" i="6"/>
  <c r="F251" i="6"/>
  <c r="D251" i="6"/>
  <c r="D250" i="6"/>
  <c r="G209" i="6"/>
  <c r="E209" i="6"/>
  <c r="P208" i="6"/>
  <c r="E208" i="6"/>
  <c r="G175" i="6"/>
  <c r="E175" i="6"/>
  <c r="P174" i="6"/>
  <c r="E174" i="6"/>
  <c r="G132" i="6"/>
  <c r="E132" i="6"/>
  <c r="P131" i="6"/>
  <c r="E131" i="6"/>
  <c r="P89" i="6"/>
  <c r="Q79" i="6"/>
  <c r="H79" i="6"/>
  <c r="H83" i="6" s="1"/>
  <c r="N72" i="6"/>
  <c r="H72" i="6"/>
  <c r="H68" i="6"/>
  <c r="M65" i="6"/>
  <c r="O63" i="6"/>
  <c r="O59" i="6"/>
  <c r="O56" i="6"/>
  <c r="Z52" i="6"/>
  <c r="Z51" i="6"/>
  <c r="L51" i="6"/>
  <c r="L56" i="6" s="1"/>
  <c r="J51" i="6"/>
  <c r="J60" i="6" s="1"/>
  <c r="I51" i="6"/>
  <c r="I60" i="6" s="1"/>
  <c r="H51" i="6"/>
  <c r="H60" i="6" s="1"/>
  <c r="Z50" i="6"/>
  <c r="R50" i="6"/>
  <c r="H71" i="6" s="1"/>
  <c r="Z49" i="6"/>
  <c r="Z48" i="6"/>
  <c r="Z47" i="6"/>
  <c r="Z46" i="6"/>
  <c r="B46" i="6"/>
  <c r="Z45" i="6"/>
  <c r="R45" i="6"/>
  <c r="B45" i="6"/>
  <c r="Z44" i="6"/>
  <c r="AE43" i="6"/>
  <c r="AD43" i="6"/>
  <c r="AC43" i="6"/>
  <c r="AG43" i="6" s="1"/>
  <c r="AB43" i="6"/>
  <c r="AA43" i="6"/>
  <c r="Z43" i="6"/>
  <c r="Z40" i="6"/>
  <c r="S39" i="6"/>
  <c r="Q33" i="6"/>
  <c r="BD30" i="6"/>
  <c r="BC30" i="6"/>
  <c r="BB30" i="6"/>
  <c r="BA30" i="6"/>
  <c r="AZ30" i="6"/>
  <c r="AY30" i="6"/>
  <c r="P30" i="6"/>
  <c r="BH30" i="6" s="1"/>
  <c r="O30" i="6"/>
  <c r="BG30" i="6" s="1"/>
  <c r="N30" i="6"/>
  <c r="BF30" i="6" s="1"/>
  <c r="U29" i="6"/>
  <c r="AI28" i="6"/>
  <c r="AH28" i="6"/>
  <c r="AG28" i="6"/>
  <c r="AF28" i="6"/>
  <c r="AE28" i="6"/>
  <c r="U28" i="6"/>
  <c r="T28" i="6"/>
  <c r="S28" i="6"/>
  <c r="R28" i="6"/>
  <c r="AI27" i="6"/>
  <c r="AH27" i="6"/>
  <c r="AG27" i="6"/>
  <c r="U27" i="6" s="1"/>
  <c r="AF27" i="6"/>
  <c r="AE27" i="6"/>
  <c r="T27" i="6"/>
  <c r="AI26" i="6"/>
  <c r="AH26" i="6"/>
  <c r="AG26" i="6"/>
  <c r="U26" i="6" s="1"/>
  <c r="AF26" i="6"/>
  <c r="AE26" i="6"/>
  <c r="T26" i="6"/>
  <c r="S26" i="6"/>
  <c r="R26" i="6"/>
  <c r="AI25" i="6"/>
  <c r="AH25" i="6"/>
  <c r="AG25" i="6"/>
  <c r="U25" i="6" s="1"/>
  <c r="AF25" i="6"/>
  <c r="AE25" i="6"/>
  <c r="T25" i="6"/>
  <c r="S25" i="6"/>
  <c r="R25" i="6"/>
  <c r="AI24" i="6"/>
  <c r="AH24" i="6"/>
  <c r="AG24" i="6"/>
  <c r="U24" i="6" s="1"/>
  <c r="AF24" i="6"/>
  <c r="AE24" i="6"/>
  <c r="T24" i="6"/>
  <c r="S24" i="6"/>
  <c r="R24" i="6"/>
  <c r="AI23" i="6"/>
  <c r="AH23" i="6"/>
  <c r="AG23" i="6"/>
  <c r="U23" i="6" s="1"/>
  <c r="AF23" i="6"/>
  <c r="AE23" i="6"/>
  <c r="T23" i="6"/>
  <c r="S23" i="6"/>
  <c r="R23" i="6"/>
  <c r="AI22" i="6"/>
  <c r="AH22" i="6"/>
  <c r="AG22" i="6"/>
  <c r="U22" i="6" s="1"/>
  <c r="AF22" i="6"/>
  <c r="AE22" i="6"/>
  <c r="T22" i="6"/>
  <c r="S22" i="6"/>
  <c r="R22" i="6"/>
  <c r="AI21" i="6"/>
  <c r="AH21" i="6"/>
  <c r="AG21" i="6"/>
  <c r="AF21" i="6"/>
  <c r="U21" i="6"/>
  <c r="T21" i="6"/>
  <c r="S21" i="6"/>
  <c r="R21" i="6"/>
  <c r="AI20" i="6"/>
  <c r="AH20" i="6"/>
  <c r="AG20" i="6"/>
  <c r="U20" i="6"/>
  <c r="T20" i="6"/>
  <c r="S20" i="6"/>
  <c r="R20" i="6"/>
  <c r="U19" i="6"/>
  <c r="T19" i="6"/>
  <c r="AI19" i="6" s="1"/>
  <c r="S19" i="6"/>
  <c r="R19" i="6"/>
  <c r="AI18" i="6"/>
  <c r="U18" i="6"/>
  <c r="T18" i="6"/>
  <c r="S18" i="6"/>
  <c r="R18" i="6"/>
  <c r="U17" i="6"/>
  <c r="T17" i="6"/>
  <c r="S17" i="6"/>
  <c r="M16" i="6"/>
  <c r="BI30" i="6" l="1"/>
  <c r="Q30" i="6" s="1"/>
  <c r="I61" i="6" s="1"/>
  <c r="J56" i="6"/>
  <c r="I56" i="7"/>
  <c r="BI30" i="7"/>
  <c r="Q30" i="7" s="1"/>
  <c r="L61" i="7" s="1"/>
  <c r="L65" i="7" s="1"/>
  <c r="J56" i="7"/>
  <c r="R51" i="6"/>
  <c r="H80" i="6"/>
  <c r="L56" i="7"/>
  <c r="AH19" i="7"/>
  <c r="R51" i="7"/>
  <c r="H80" i="7"/>
  <c r="L60" i="6"/>
  <c r="AH19" i="6"/>
  <c r="H71" i="7"/>
  <c r="H56" i="6"/>
  <c r="I56" i="6"/>
  <c r="H56" i="7"/>
  <c r="I65" i="6" l="1"/>
  <c r="I62" i="6"/>
  <c r="L61" i="6"/>
  <c r="J61" i="7"/>
  <c r="J65" i="7" s="1"/>
  <c r="R61" i="6"/>
  <c r="I61" i="7"/>
  <c r="I65" i="7" s="1"/>
  <c r="R53" i="7"/>
  <c r="R58" i="7" s="1"/>
  <c r="R59" i="7" s="1"/>
  <c r="H78" i="7"/>
  <c r="H81" i="7" s="1"/>
  <c r="P83" i="7" s="1"/>
  <c r="H78" i="6"/>
  <c r="H81" i="6" s="1"/>
  <c r="P83" i="6" s="1"/>
  <c r="R53" i="6"/>
  <c r="R58" i="6" s="1"/>
  <c r="R59" i="6" s="1"/>
  <c r="R61" i="7"/>
  <c r="R65" i="7" s="1"/>
  <c r="H61" i="7"/>
  <c r="H65" i="7" s="1"/>
  <c r="J61" i="6"/>
  <c r="L58" i="7"/>
  <c r="L59" i="7" s="1"/>
  <c r="J58" i="7"/>
  <c r="J59" i="7" s="1"/>
  <c r="I58" i="7"/>
  <c r="I59" i="7" s="1"/>
  <c r="H58" i="7"/>
  <c r="H59" i="7" s="1"/>
  <c r="L62" i="7"/>
  <c r="L58" i="6"/>
  <c r="L59" i="6" s="1"/>
  <c r="J58" i="6"/>
  <c r="J59" i="6" s="1"/>
  <c r="I58" i="6"/>
  <c r="I59" i="6" s="1"/>
  <c r="H58" i="6"/>
  <c r="H59" i="6" s="1"/>
  <c r="H61" i="6"/>
  <c r="H62" i="7" l="1"/>
  <c r="J62" i="7"/>
  <c r="I62" i="7"/>
  <c r="J65" i="6"/>
  <c r="J62" i="6"/>
  <c r="R65" i="6"/>
  <c r="R62" i="6"/>
  <c r="L65" i="6"/>
  <c r="L62" i="6"/>
  <c r="H65" i="6"/>
  <c r="H62" i="6"/>
  <c r="R6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Battista, Vincent</author>
    <author>Wieden, Craig</author>
  </authors>
  <commentList>
    <comment ref="N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O5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Battista, Vincent</author>
    <author>Wieden, Craig</author>
  </authors>
  <commentList>
    <comment ref="N3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O5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sharedStrings.xml><?xml version="1.0" encoding="utf-8"?>
<sst xmlns="http://schemas.openxmlformats.org/spreadsheetml/2006/main" count="857" uniqueCount="387">
  <si>
    <t>Date Received</t>
  </si>
  <si>
    <t>Field Sheet No.</t>
  </si>
  <si>
    <t>Region</t>
  </si>
  <si>
    <t>Item 403:</t>
  </si>
  <si>
    <t>Contractor/Supplier</t>
  </si>
  <si>
    <t>Pit Name</t>
  </si>
  <si>
    <t>Grading</t>
  </si>
  <si>
    <t>Aggregate Sampled by (CP-30)</t>
  </si>
  <si>
    <t>Percent in Mix</t>
  </si>
  <si>
    <t>(37.5)</t>
  </si>
  <si>
    <t>(25.0)</t>
  </si>
  <si>
    <t>(19.0)</t>
  </si>
  <si>
    <t>(12.5)</t>
  </si>
  <si>
    <t>(9.5)</t>
  </si>
  <si>
    <t>(4.75)</t>
  </si>
  <si>
    <t>(2.36)</t>
  </si>
  <si>
    <t>(1.18)</t>
  </si>
  <si>
    <t>(0.60)</t>
  </si>
  <si>
    <t>(0.30)</t>
  </si>
  <si>
    <t>(0.15)</t>
  </si>
  <si>
    <t>(0.075)</t>
  </si>
  <si>
    <t>Gradation</t>
  </si>
  <si>
    <t xml:space="preserve"> </t>
  </si>
  <si>
    <t>Specimen SpG. Data (CP-L 5115 &amp; CP-L 5106):</t>
  </si>
  <si>
    <t>Bulks at Ndes</t>
  </si>
  <si>
    <t>Height at Ndes</t>
  </si>
  <si>
    <t>Voids Data:</t>
  </si>
  <si>
    <t>Voids at Ndes</t>
  </si>
  <si>
    <t>Other Data:</t>
  </si>
  <si>
    <t>VMA at Ndes (CP-48)</t>
  </si>
  <si>
    <t>VFA at Ndes (percent)</t>
  </si>
  <si>
    <t>Voids Specs:</t>
  </si>
  <si>
    <t>Specs:</t>
  </si>
  <si>
    <t>Optimum A.C. Content Results</t>
  </si>
  <si>
    <t>Optimum A.C. Content (percent)</t>
  </si>
  <si>
    <t>Rice at Optimum A.C.</t>
  </si>
  <si>
    <t>Voids at Optimum A.C. (percent)</t>
  </si>
  <si>
    <t>VMA at Optimum A.C. (percent)</t>
  </si>
  <si>
    <t>Lottman Moisture Sensitivity Results (CP-L 5109, Method B)</t>
  </si>
  <si>
    <t>Avg. Dry Tensile Strength (psi)</t>
  </si>
  <si>
    <t>Avg. Cond. Tensile Strength (psi)</t>
  </si>
  <si>
    <t>Avg. Specimen Voids (percent)</t>
  </si>
  <si>
    <t>Avg. Saturation (percent)</t>
  </si>
  <si>
    <t>Lottman Specs:</t>
  </si>
  <si>
    <t>&gt; 30</t>
  </si>
  <si>
    <t>Asphalt Pavement Engineer</t>
  </si>
  <si>
    <t>Report Date</t>
  </si>
  <si>
    <t>RME</t>
  </si>
  <si>
    <t>HQ</t>
  </si>
  <si>
    <t xml:space="preserve">          Distribution:</t>
  </si>
  <si>
    <t>Asphalt Content (percent)</t>
  </si>
  <si>
    <t>Rice =</t>
  </si>
  <si>
    <t>@</t>
  </si>
  <si>
    <t>%AC</t>
  </si>
  <si>
    <t>SX</t>
  </si>
  <si>
    <t>(372KPa)</t>
  </si>
  <si>
    <t>(291KPpa)</t>
  </si>
  <si>
    <t>%</t>
  </si>
  <si>
    <t>Dust to A.C. Ratio (CP-50)</t>
  </si>
  <si>
    <t>45 min</t>
  </si>
  <si>
    <t>Type of Aggregate</t>
  </si>
  <si>
    <t>Aggregate Source</t>
  </si>
  <si>
    <r>
      <t>Lab No</t>
    </r>
    <r>
      <rPr>
        <sz val="8"/>
        <rFont val="Arial"/>
        <family val="2"/>
      </rPr>
      <t>.</t>
    </r>
  </si>
  <si>
    <t>For Info</t>
  </si>
  <si>
    <t>Rice Data (CP-51)</t>
  </si>
  <si>
    <t>Minimum</t>
  </si>
  <si>
    <t>Maximum</t>
  </si>
  <si>
    <t>Mix Design A.C. Content Determination Results:</t>
  </si>
  <si>
    <t>Sieve Size Raised to the .45 Power</t>
  </si>
  <si>
    <t xml:space="preserve">         Control Points</t>
  </si>
  <si>
    <t>Aggregate Data (CP-31 A &amp; B):</t>
  </si>
  <si>
    <t>Plastic or Non-Plastic (T-90)</t>
  </si>
  <si>
    <t>Fractured Faces (CP-45)</t>
  </si>
  <si>
    <t>LA Abrasion (T-96)</t>
  </si>
  <si>
    <t>Combined</t>
  </si>
  <si>
    <t>Aggregate Bulk SpG(T-84 &amp; T-85)</t>
  </si>
  <si>
    <t>Aggregate Eff. SpG(T-84 &amp; T-85)</t>
  </si>
  <si>
    <t>Aggregate App. SpG(T-84 &amp; T85))</t>
  </si>
  <si>
    <t>Fine Agg. Bulk SpG. (T-84)</t>
  </si>
  <si>
    <t>Coarse Agg. Bulk SpG. (T-85)</t>
  </si>
  <si>
    <t>Agg Water Abs (%) (T-84 &amp; T85)</t>
  </si>
  <si>
    <t xml:space="preserve">A.C. Content (percent) </t>
  </si>
  <si>
    <t>S</t>
  </si>
  <si>
    <t>SG</t>
  </si>
  <si>
    <t>1"</t>
  </si>
  <si>
    <r>
      <t>Gyr. (N</t>
    </r>
    <r>
      <rPr>
        <vertAlign val="subscript"/>
        <sz val="8"/>
        <rFont val="Arial"/>
        <family val="2"/>
      </rPr>
      <t>design</t>
    </r>
    <r>
      <rPr>
        <sz val="8"/>
        <rFont val="Arial"/>
        <family val="2"/>
      </rPr>
      <t>)</t>
    </r>
  </si>
  <si>
    <t>Binder SpG.</t>
  </si>
  <si>
    <t>45.0 min</t>
  </si>
  <si>
    <t>Effective Asphalt Content</t>
  </si>
  <si>
    <t>Tensile Strength Retained</t>
  </si>
  <si>
    <t>Stability at Optimum A.C.</t>
  </si>
  <si>
    <t>Grade</t>
  </si>
  <si>
    <t>Gyrations</t>
  </si>
  <si>
    <t>AC source</t>
  </si>
  <si>
    <t>Binder</t>
  </si>
  <si>
    <t>58-34</t>
  </si>
  <si>
    <t>64-22</t>
  </si>
  <si>
    <t>64-28</t>
  </si>
  <si>
    <t>70-28</t>
  </si>
  <si>
    <t>76-28</t>
  </si>
  <si>
    <t>Nominal Max Agg. Size</t>
  </si>
  <si>
    <t>Agg Size</t>
  </si>
  <si>
    <t>3/8"</t>
  </si>
  <si>
    <t>1/2"</t>
  </si>
  <si>
    <t>3/4"</t>
  </si>
  <si>
    <t>No. 4</t>
  </si>
  <si>
    <t>No 4</t>
  </si>
  <si>
    <t>0.45 Chart Lines based on Nom. Agg. Size</t>
  </si>
  <si>
    <t>3/8</t>
  </si>
  <si>
    <t>1/2</t>
  </si>
  <si>
    <t>3/4</t>
  </si>
  <si>
    <t>Sieve No</t>
  </si>
  <si>
    <t>1-1/2</t>
  </si>
  <si>
    <t>1</t>
  </si>
  <si>
    <t>No. 8</t>
  </si>
  <si>
    <t>No. 16</t>
  </si>
  <si>
    <t>No. 50</t>
  </si>
  <si>
    <t>No. 100</t>
  </si>
  <si>
    <t>No. 200</t>
  </si>
  <si>
    <t>No. 30</t>
  </si>
  <si>
    <t>3/4" Nom</t>
  </si>
  <si>
    <t>1/2" Nom</t>
  </si>
  <si>
    <t>3/8" Nom</t>
  </si>
  <si>
    <t>No. 4 Nom</t>
  </si>
  <si>
    <t>Y-Axis</t>
  </si>
  <si>
    <t>X-Axis</t>
  </si>
  <si>
    <t>1" Nom</t>
  </si>
  <si>
    <t>Array for Gradation Control Points</t>
  </si>
  <si>
    <t>SMA 3/4</t>
  </si>
  <si>
    <t>SMA 1/2</t>
  </si>
  <si>
    <t>SMA 3/8</t>
  </si>
  <si>
    <t>SMA #4</t>
  </si>
  <si>
    <t>SMA No. 4</t>
  </si>
  <si>
    <t>Min</t>
  </si>
  <si>
    <t>Max</t>
  </si>
  <si>
    <t>Bulk Specific Gravity at Optimum AC (Gmb)</t>
  </si>
  <si>
    <t>Percent Aggregate retained on the breakpoint Sieve</t>
  </si>
  <si>
    <t>VCAmix &lt; VCAdrc to ensure stone on stone contact</t>
  </si>
  <si>
    <t>VCA Ratio Check</t>
  </si>
  <si>
    <t xml:space="preserve">Virgin </t>
  </si>
  <si>
    <t>Natural Products</t>
  </si>
  <si>
    <t>Recycled Products</t>
  </si>
  <si>
    <t>Yes passes, No fails</t>
  </si>
  <si>
    <t>Break Point Sieve</t>
  </si>
  <si>
    <t>6.0% - 8.0%</t>
  </si>
  <si>
    <r>
      <t xml:space="preserve">Sodium Sulfate Soundness (T 104) </t>
    </r>
    <r>
      <rPr>
        <b/>
        <sz val="8"/>
        <rFont val="Arial"/>
        <family val="2"/>
      </rPr>
      <t>SMA Only</t>
    </r>
  </si>
  <si>
    <t>Marshall</t>
  </si>
  <si>
    <t>Optimum Point Data</t>
  </si>
  <si>
    <t>A.C.</t>
  </si>
  <si>
    <t>Rice</t>
  </si>
  <si>
    <t>Bulk S.G.</t>
  </si>
  <si>
    <t>Voids</t>
  </si>
  <si>
    <t>VMA</t>
  </si>
  <si>
    <t>VFA</t>
  </si>
  <si>
    <t>D/A Ratio</t>
  </si>
  <si>
    <t>Stability</t>
  </si>
  <si>
    <t>Effective AC</t>
  </si>
  <si>
    <t>58-28</t>
  </si>
  <si>
    <t xml:space="preserve">Aggregate data has been updated to include 6 columns for natural products, and 3 columns for </t>
  </si>
  <si>
    <r>
      <t xml:space="preserve">recycled products.  </t>
    </r>
    <r>
      <rPr>
        <b/>
        <sz val="10"/>
        <rFont val="Arial"/>
        <family val="2"/>
      </rPr>
      <t>Please note the area for A.C. Content below the recycled products.</t>
    </r>
  </si>
  <si>
    <t>Page 1</t>
  </si>
  <si>
    <t>Page 2</t>
  </si>
  <si>
    <t>changes VFA specs on page 2</t>
  </si>
  <si>
    <t>Moved optimum point data in columnar form to right side of mix design area.  Added calculation</t>
  </si>
  <si>
    <t>Goal of revision was to consolidate the previous worksheets into one master worksheet and make</t>
  </si>
  <si>
    <t>the majority of the calculations automatic.</t>
  </si>
  <si>
    <t>Voids Coarse Agg DRC (VCAdrc)</t>
  </si>
  <si>
    <t xml:space="preserve">Micro Deval (CP-L 4211) </t>
  </si>
  <si>
    <r>
      <t xml:space="preserve">Sand Equivalent (T-176) </t>
    </r>
    <r>
      <rPr>
        <b/>
        <sz val="8"/>
        <rFont val="Arial"/>
        <family val="2"/>
      </rPr>
      <t>WMA/HMA Only</t>
    </r>
  </si>
  <si>
    <r>
      <t xml:space="preserve">Fine Aggregate Angularity (T-304) </t>
    </r>
    <r>
      <rPr>
        <b/>
        <sz val="8"/>
        <rFont val="Arial"/>
        <family val="2"/>
      </rPr>
      <t>WMA/HMA Only</t>
    </r>
  </si>
  <si>
    <t>WMA</t>
  </si>
  <si>
    <t>WMA Additive</t>
  </si>
  <si>
    <t>1 1/2</t>
  </si>
  <si>
    <t>#4</t>
  </si>
  <si>
    <t>#8</t>
  </si>
  <si>
    <t>#16</t>
  </si>
  <si>
    <t>#30</t>
  </si>
  <si>
    <t>#50</t>
  </si>
  <si>
    <t>#100</t>
  </si>
  <si>
    <t>#200</t>
  </si>
  <si>
    <t>Passing</t>
  </si>
  <si>
    <r>
      <t>Bulk Specific Gravity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(Gca)</t>
    </r>
  </si>
  <si>
    <r>
      <t>Percent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(Pca)</t>
    </r>
  </si>
  <si>
    <r>
      <t>Voids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(VCAmix)</t>
    </r>
  </si>
  <si>
    <r>
      <t>Unit Weight of Stone (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)</t>
    </r>
  </si>
  <si>
    <t>Page 3</t>
  </si>
  <si>
    <r>
      <t>Lab Mix No</t>
    </r>
    <r>
      <rPr>
        <sz val="8"/>
        <rFont val="Arial"/>
        <family val="2"/>
      </rPr>
      <t>.:</t>
    </r>
  </si>
  <si>
    <t>Page 6</t>
  </si>
  <si>
    <t>Page 5</t>
  </si>
  <si>
    <t>Page 4</t>
  </si>
  <si>
    <t xml:space="preserve"> % Fibers (SMA, if used)</t>
  </si>
  <si>
    <t xml:space="preserve">AC Content  </t>
  </si>
  <si>
    <t>Fractured Faces</t>
  </si>
  <si>
    <t>60 min.</t>
  </si>
  <si>
    <t>70 min.</t>
  </si>
  <si>
    <t>90 min.</t>
  </si>
  <si>
    <t>Plasticity of Mineral Filler (T-90)</t>
  </si>
  <si>
    <t>4% max.</t>
  </si>
  <si>
    <t>18 max.</t>
  </si>
  <si>
    <t>12 max.</t>
  </si>
  <si>
    <t>Calcium Oxide Content (ASTM C25)</t>
  </si>
  <si>
    <t>22% max.</t>
  </si>
  <si>
    <t>Modified Rigden Voids (NAPS IS-101)</t>
  </si>
  <si>
    <r>
      <rPr>
        <sz val="8"/>
        <rFont val="Calibri"/>
        <family val="2"/>
      </rPr>
      <t>≤</t>
    </r>
    <r>
      <rPr>
        <sz val="8"/>
        <rFont val="Arial"/>
        <family val="2"/>
      </rPr>
      <t>50</t>
    </r>
  </si>
  <si>
    <t>SMA Specific Input and Calculations</t>
  </si>
  <si>
    <t>Antistrip Additive (other than lime if used), %</t>
  </si>
  <si>
    <t xml:space="preserve">Antistrip Additive Material </t>
  </si>
  <si>
    <r>
      <t>Stability (CP-L 5106)</t>
    </r>
    <r>
      <rPr>
        <b/>
        <sz val="8"/>
        <rFont val="Arial"/>
        <family val="2"/>
      </rPr>
      <t>(Grade S and SX Only)</t>
    </r>
  </si>
  <si>
    <t xml:space="preserve">Total Binder Replaced </t>
  </si>
  <si>
    <t>Other</t>
  </si>
  <si>
    <t>Max Dens Line Array</t>
  </si>
  <si>
    <t>Laboratory Design for Asphalt</t>
  </si>
  <si>
    <t xml:space="preserve">changes the control points in the aggregate data and on the 0.45 gradation figure.  Design gyrations </t>
  </si>
  <si>
    <t xml:space="preserve">Added drop down lists for Region #, HMA Grading, NMAS, Design Gyrations, and Grade of Binder. </t>
  </si>
  <si>
    <t xml:space="preserve">The NMAS controls the max density line on the 0.45 gradation figure, and the HMA grading </t>
  </si>
  <si>
    <t>Added Sodium Sulfate Soundness to bottom of Agg. Data area.</t>
  </si>
  <si>
    <t>Spreadsheet conducts a VCA Ratio check.</t>
  </si>
  <si>
    <t>for total binder replace if recycled products are used.</t>
  </si>
  <si>
    <t>Added area of SMA calculation for VCA.  Need to input Unit Weight of Stone and Break point sieve,</t>
  </si>
  <si>
    <t>Form #429 was written in Microsoft Excel 2010 and consists of six pages of information that is pertinent to</t>
  </si>
  <si>
    <t>asphalt mix designs.  Shaded areas will require input.  Other areas contain standard information or information</t>
  </si>
  <si>
    <t>that will be calculated from the data that is input.</t>
  </si>
  <si>
    <t>Directions for CDOT Form # 429</t>
  </si>
  <si>
    <t>Worksheets</t>
  </si>
  <si>
    <t xml:space="preserve">The first page deals with aggregate information.  </t>
  </si>
  <si>
    <t xml:space="preserve">The second page will carry over the Lab name from the first page.  The Maximum Specific Gravity will be </t>
  </si>
  <si>
    <t>content is supplied.  Much of the information on this page will be calculated by the worksheet.  Again, shaded</t>
  </si>
  <si>
    <t>areas must be input.</t>
  </si>
  <si>
    <t>Check the specifications for accuracy.  Some of the specifications are dependent on the traffic ESALs and will</t>
  </si>
  <si>
    <t>vary within a Superpave gradation.</t>
  </si>
  <si>
    <t>Graphs</t>
  </si>
  <si>
    <t>The graphs will be created automatically from the input information.</t>
  </si>
  <si>
    <t>Miscellaneous</t>
  </si>
  <si>
    <t xml:space="preserve">The unshaded fields are protected with a password.  </t>
  </si>
  <si>
    <t>automatically calculated at different asphalt contents if the maximum specific gravity at the optimum asphalt</t>
  </si>
  <si>
    <r>
      <rPr>
        <sz val="8"/>
        <rFont val="Calibri"/>
        <family val="2"/>
      </rPr>
      <t>≤</t>
    </r>
    <r>
      <rPr>
        <sz val="8"/>
        <rFont val="Arial"/>
        <family val="2"/>
      </rPr>
      <t>30% RAS   ≤23% RAP</t>
    </r>
  </si>
  <si>
    <t xml:space="preserve">Sample ID:  </t>
  </si>
  <si>
    <t>Contract ID.</t>
  </si>
  <si>
    <t>Project Location</t>
  </si>
  <si>
    <t>Project No.</t>
  </si>
  <si>
    <t>Draindown (T-305)</t>
  </si>
  <si>
    <t>0.3% max.</t>
  </si>
  <si>
    <t>Added Draindown, Plasticity of Mineral Filler, Calcium Oxide Content, and Modified Rigden voids to bottom of SMA Specific Input and Calculations area.</t>
  </si>
  <si>
    <t>ST</t>
  </si>
  <si>
    <t>SF</t>
  </si>
  <si>
    <t>Earth Engineering</t>
  </si>
  <si>
    <t>ABC</t>
  </si>
  <si>
    <t>STA 0361-095</t>
  </si>
  <si>
    <t>US 36 Boulder East</t>
  </si>
  <si>
    <t>ASCI</t>
  </si>
  <si>
    <t>Frei / Everst / Quince</t>
  </si>
  <si>
    <t>Suncor</t>
  </si>
  <si>
    <t>1/2" Rock</t>
  </si>
  <si>
    <t>Fines</t>
  </si>
  <si>
    <t>Squeegee</t>
  </si>
  <si>
    <t>Sand</t>
  </si>
  <si>
    <t>Lime</t>
  </si>
  <si>
    <t>RAP</t>
  </si>
  <si>
    <t>RAS</t>
  </si>
  <si>
    <t xml:space="preserve">Frei </t>
  </si>
  <si>
    <t>LG Everist</t>
  </si>
  <si>
    <t>Pete Lien</t>
  </si>
  <si>
    <t>NP</t>
  </si>
  <si>
    <t>&gt;14.7</t>
  </si>
  <si>
    <t>0.6-1.2 Fine, 0.8-1.6 Coarse</t>
  </si>
  <si>
    <t>CDOT Form #429    05/18</t>
  </si>
  <si>
    <t>CDOT Form #429   05/18</t>
  </si>
  <si>
    <t>CP 52, HMA Mix Design - Submittal Checklist</t>
  </si>
  <si>
    <t>Project No.:</t>
  </si>
  <si>
    <t>CDOT Mix Design No.:</t>
  </si>
  <si>
    <t>Mix Design Package:</t>
  </si>
  <si>
    <t>HMA Supplier Name:</t>
  </si>
  <si>
    <t>Materials Sampled:</t>
  </si>
  <si>
    <t>HMA Mix Design Company Name:</t>
  </si>
  <si>
    <t>Material Sent to Central Lab:</t>
  </si>
  <si>
    <t>Contractor Mix Design No.:</t>
  </si>
  <si>
    <t>Results from Central Lab:</t>
  </si>
  <si>
    <t>Plant Location:</t>
  </si>
  <si>
    <t>Mix Design Approval:</t>
  </si>
  <si>
    <t>HMA Grading and Gyrations:</t>
  </si>
  <si>
    <t>PG Grade:</t>
  </si>
  <si>
    <t>Item No:</t>
  </si>
  <si>
    <t>PE Stamp Name:</t>
  </si>
  <si>
    <t>Included</t>
  </si>
  <si>
    <t>Missing</t>
  </si>
  <si>
    <t>N/A</t>
  </si>
  <si>
    <t>3.2</t>
  </si>
  <si>
    <t>Stamped by a registered Professional Engineer in the State of Colorado</t>
  </si>
  <si>
    <t>Cover Letter describing asphalt mix design stamped by PE</t>
  </si>
  <si>
    <r>
      <t>Microsoft</t>
    </r>
    <r>
      <rPr>
        <sz val="10"/>
        <rFont val="Calibri"/>
        <family val="2"/>
      </rPr>
      <t>®</t>
    </r>
    <r>
      <rPr>
        <sz val="10"/>
        <rFont val="Trebuchet MS"/>
        <family val="2"/>
      </rPr>
      <t xml:space="preserve"> Excel</t>
    </r>
    <r>
      <rPr>
        <sz val="10"/>
        <rFont val="Calibri"/>
        <family val="2"/>
      </rPr>
      <t>®</t>
    </r>
    <r>
      <rPr>
        <sz val="10"/>
        <rFont val="Trebuchet MS"/>
        <family val="2"/>
      </rPr>
      <t xml:space="preserve"> electronic version of the CDOT Form #429</t>
    </r>
  </si>
  <si>
    <t>4.2</t>
  </si>
  <si>
    <t>Cover Letter</t>
  </si>
  <si>
    <t>●</t>
  </si>
  <si>
    <t>Laboratory Name &amp; Address</t>
  </si>
  <si>
    <t>Suppliers Name &amp; Address</t>
  </si>
  <si>
    <t>Suppliers Unique Mix Design Number</t>
  </si>
  <si>
    <t>Date of Batch Trial Testing</t>
  </si>
  <si>
    <t>Source of all Mix Design Components</t>
  </si>
  <si>
    <t>Stamped and Signed by a Professional Engineer Registered in Colorado</t>
  </si>
  <si>
    <t>4.3 (1)</t>
  </si>
  <si>
    <t>Aggregates Testing (Each Stockpile)</t>
  </si>
  <si>
    <t>A.</t>
  </si>
  <si>
    <t>Source</t>
  </si>
  <si>
    <t>B.</t>
  </si>
  <si>
    <t>Gradation (CP 31) (at least the 10 most current samples, during production)</t>
  </si>
  <si>
    <t>C.</t>
  </si>
  <si>
    <t>Specific Gravity (CP-L 4102 &amp; AASHTO T 85) (3 most current samples, during prod.)</t>
  </si>
  <si>
    <t>D.</t>
  </si>
  <si>
    <t>Atterburg Limits (AASHTO T90)</t>
  </si>
  <si>
    <t>E.</t>
  </si>
  <si>
    <t>Los Angeles Abrasion (AASHTO T 96)</t>
  </si>
  <si>
    <t>F.</t>
  </si>
  <si>
    <t>Statistical Data for Apparent SpG and Bulk SpG</t>
  </si>
  <si>
    <t>4.3 (2)</t>
  </si>
  <si>
    <t>Reclaimed Asphalt Pavement (RAP) (Source and Statistical Data - at least 10 samples)</t>
  </si>
  <si>
    <t>Asphalt Binder Content (AASHTO T-164, Method A or B, or CP-L 5120)</t>
  </si>
  <si>
    <t>RAP Aggregate Gradation (CP 31)</t>
  </si>
  <si>
    <t>Effective Specific Gravity (CP 51, Method B)</t>
  </si>
  <si>
    <t>Uniformity Calculations to include Binder Content and Aggregate Gradation</t>
  </si>
  <si>
    <t>4.3 (3)</t>
  </si>
  <si>
    <t>Reclaimed Asphalt Shingles (RAS) (Source and Statistical Data - at least 10 samples)</t>
  </si>
  <si>
    <t>RAS Aggregate Gradation (AASHTO PP 53)</t>
  </si>
  <si>
    <t>Effective Specific Gravity (AASHTO PP 53)</t>
  </si>
  <si>
    <t>Uniformity Calc. for RAS, to includes Grad., Binder Content and % passing #200</t>
  </si>
  <si>
    <t>Copy of RAS QC Plan</t>
  </si>
  <si>
    <t>4.3 (4)</t>
  </si>
  <si>
    <t>Combined Aggregate Properties:</t>
  </si>
  <si>
    <t>Percentage of each aggregate used</t>
  </si>
  <si>
    <t>Combined aggregate gradation w and w/o RAP</t>
  </si>
  <si>
    <t>Sand Equivalent</t>
  </si>
  <si>
    <t>Fine and Coarse Aggregate Bulk Specfic Gravity</t>
  </si>
  <si>
    <t>Fine Aggregate Angularity</t>
  </si>
  <si>
    <t>Combined Aggregate, Apparent and Bulk Specific Gravity</t>
  </si>
  <si>
    <t>G.</t>
  </si>
  <si>
    <t>H.</t>
  </si>
  <si>
    <t>Micro-Deval (CP-L 4211)</t>
  </si>
  <si>
    <t>I.</t>
  </si>
  <si>
    <t>Effective Specific Gravity</t>
  </si>
  <si>
    <t>4.3 (5)</t>
  </si>
  <si>
    <t>Source and Grade of Binder (from APL)</t>
  </si>
  <si>
    <t>Specific Gravity</t>
  </si>
  <si>
    <t>4.3 (6)</t>
  </si>
  <si>
    <t>Hydrated Lime (APL)</t>
  </si>
  <si>
    <t>Lime Supplier &amp; Location</t>
  </si>
  <si>
    <t>4.3 (7)</t>
  </si>
  <si>
    <t>Name and percentage of each additive</t>
  </si>
  <si>
    <t>4.3 (8)</t>
  </si>
  <si>
    <t>For each Asphalt Content Tested:</t>
  </si>
  <si>
    <r>
      <t>Voids in Mineral Aggregate (VMA) @ N</t>
    </r>
    <r>
      <rPr>
        <vertAlign val="subscript"/>
        <sz val="10"/>
        <rFont val="Trebuchet MS"/>
        <family val="2"/>
      </rPr>
      <t>des</t>
    </r>
  </si>
  <si>
    <t>Dust to Asphalt Ratio</t>
  </si>
  <si>
    <r>
      <t>Percent Voids Filled (VFA) @ N</t>
    </r>
    <r>
      <rPr>
        <vertAlign val="subscript"/>
        <sz val="10"/>
        <rFont val="Trebuchet MS"/>
        <family val="2"/>
      </rPr>
      <t>des</t>
    </r>
  </si>
  <si>
    <r>
      <t>Hveem Stability at N</t>
    </r>
    <r>
      <rPr>
        <vertAlign val="subscript"/>
        <sz val="10"/>
        <rFont val="Trebuchet MS"/>
        <family val="2"/>
      </rPr>
      <t xml:space="preserve">des </t>
    </r>
    <r>
      <rPr>
        <sz val="9"/>
        <rFont val="Trebuchet MS"/>
        <family val="2"/>
      </rPr>
      <t>(S &amp; SX mixes only)</t>
    </r>
  </si>
  <si>
    <t>Maximum Theoretical Specific Gravity</t>
  </si>
  <si>
    <r>
      <t>Bulk Specific Gravity @ N</t>
    </r>
    <r>
      <rPr>
        <vertAlign val="subscript"/>
        <sz val="10"/>
        <rFont val="Trebuchet MS"/>
        <family val="2"/>
      </rPr>
      <t>des</t>
    </r>
  </si>
  <si>
    <r>
      <t>Air voids, Voids in Total Mix (VTM) @  N</t>
    </r>
    <r>
      <rPr>
        <vertAlign val="subscript"/>
        <sz val="10"/>
        <rFont val="Trebuchet MS"/>
        <family val="2"/>
      </rPr>
      <t>des</t>
    </r>
    <r>
      <rPr>
        <sz val="10"/>
        <rFont val="Trebuchet MS"/>
        <family val="2"/>
      </rPr>
      <t xml:space="preserve"> </t>
    </r>
  </si>
  <si>
    <t>4.3 (9)</t>
  </si>
  <si>
    <t>Graphs of Stability, Air Voids, VMA, and VFA vs Total Asphalt Content</t>
  </si>
  <si>
    <t>4.3 (10)</t>
  </si>
  <si>
    <t xml:space="preserve">Lottman and wet/dry tensile strength at optimum Asphalt Content </t>
  </si>
  <si>
    <t>4.3 (11)</t>
  </si>
  <si>
    <t>0.45 power plot of the prop. comb. agg. grad. w/ Max Density Line &amp; Ctrl Pts</t>
  </si>
  <si>
    <t>4.3 (12)</t>
  </si>
  <si>
    <t>SMA - Additional Information</t>
  </si>
  <si>
    <t>Bulk Specific Gravity of the Coarse Aggregate Fraction</t>
  </si>
  <si>
    <t>Unit weight of the Coarse Aggregate Fraction in dry rodded condition</t>
  </si>
  <si>
    <t>Draindown test results (At production temps)</t>
  </si>
  <si>
    <t>Mineral filler analysis</t>
  </si>
  <si>
    <t>Warm Mix Asphalt</t>
  </si>
  <si>
    <t>Contractor WMA Design Considerations</t>
  </si>
  <si>
    <t>i.</t>
  </si>
  <si>
    <t>Summary of WMA design vs HMA design</t>
  </si>
  <si>
    <t>ii.</t>
  </si>
  <si>
    <t>WMA deviation from CDOT Design</t>
  </si>
  <si>
    <t>WMA Production Considerations</t>
  </si>
  <si>
    <t>Summary Equip and Plant requirements</t>
  </si>
  <si>
    <t>Property Differences Design to WMA production</t>
  </si>
  <si>
    <t>iii.</t>
  </si>
  <si>
    <t>If WMA produced on project fails mixture verification</t>
  </si>
  <si>
    <t>WMA Contacts</t>
  </si>
  <si>
    <t>WMA product manufacture representative</t>
  </si>
  <si>
    <t>WMA contact during production.</t>
  </si>
  <si>
    <t xml:space="preserve">APPROVED:                                         </t>
  </si>
  <si>
    <t>Date:</t>
  </si>
  <si>
    <t xml:space="preserve">Materials Engineer  </t>
  </si>
  <si>
    <t>Air Voids</t>
  </si>
  <si>
    <t>Gmm</t>
  </si>
  <si>
    <t xml:space="preserve">One copy of the Asphalt Mix Design on CDOT Form #429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</si>
</sst>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24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b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Symbol"/>
      <family val="1"/>
      <charset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u/>
      <sz val="10"/>
      <name val="Trebuchet MS"/>
      <family val="2"/>
    </font>
    <font>
      <sz val="10"/>
      <name val="Calibri"/>
      <family val="2"/>
    </font>
    <font>
      <vertAlign val="subscript"/>
      <sz val="10"/>
      <name val="Trebuchet MS"/>
      <family val="2"/>
    </font>
    <font>
      <sz val="9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4">
    <xf numFmtId="0" fontId="0" fillId="0" borderId="0" xfId="0"/>
    <xf numFmtId="1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0" fillId="2" borderId="0" xfId="0" applyNumberFormat="1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6" fontId="1" fillId="2" borderId="0" xfId="0" applyNumberFormat="1" applyFont="1" applyFill="1" applyAlignment="1" applyProtection="1">
      <alignment horizontal="center"/>
      <protection locked="0"/>
    </xf>
    <xf numFmtId="9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 applyAlignment="1">
      <alignment horizontal="right"/>
    </xf>
    <xf numFmtId="2" fontId="1" fillId="0" borderId="0" xfId="0" applyNumberFormat="1" applyFont="1"/>
    <xf numFmtId="165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/>
    <xf numFmtId="0" fontId="4" fillId="0" borderId="0" xfId="0" applyFont="1" applyProtection="1">
      <protection locked="0"/>
    </xf>
    <xf numFmtId="0" fontId="0" fillId="3" borderId="0" xfId="0" applyFill="1" applyProtection="1">
      <protection locked="0"/>
    </xf>
    <xf numFmtId="16" fontId="4" fillId="0" borderId="0" xfId="0" quotePrefix="1" applyNumberFormat="1" applyFont="1" applyProtection="1">
      <protection locked="0"/>
    </xf>
    <xf numFmtId="0" fontId="4" fillId="0" borderId="0" xfId="0" quotePrefix="1" applyFont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Protection="1">
      <protection locked="0"/>
    </xf>
    <xf numFmtId="1" fontId="0" fillId="4" borderId="0" xfId="0" applyNumberForma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Alignment="1" applyProtection="1">
      <alignment horizontal="center"/>
      <protection locked="0"/>
    </xf>
    <xf numFmtId="0" fontId="1" fillId="0" borderId="1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6" fontId="4" fillId="0" borderId="0" xfId="0" applyNumberFormat="1" applyFont="1" applyProtection="1">
      <protection locked="0"/>
    </xf>
    <xf numFmtId="9" fontId="1" fillId="0" borderId="10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0" fontId="1" fillId="3" borderId="6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3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Protection="1">
      <protection locked="0"/>
    </xf>
    <xf numFmtId="1" fontId="1" fillId="0" borderId="2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quotePrefix="1" applyFont="1" applyProtection="1">
      <protection locked="0"/>
    </xf>
    <xf numFmtId="164" fontId="1" fillId="3" borderId="0" xfId="0" applyNumberFormat="1" applyFont="1" applyFill="1" applyProtection="1">
      <protection locked="0"/>
    </xf>
    <xf numFmtId="0" fontId="1" fillId="5" borderId="2" xfId="0" applyFont="1" applyFill="1" applyBorder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quotePrefix="1" applyProtection="1">
      <protection locked="0"/>
    </xf>
    <xf numFmtId="14" fontId="0" fillId="0" borderId="0" xfId="0" quotePrefix="1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1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6" xfId="0" applyFont="1" applyBorder="1"/>
    <xf numFmtId="0" fontId="3" fillId="0" borderId="7" xfId="0" applyFont="1" applyBorder="1"/>
    <xf numFmtId="164" fontId="1" fillId="0" borderId="6" xfId="0" applyNumberFormat="1" applyFont="1" applyBorder="1" applyAlignment="1">
      <alignment horizontal="left"/>
    </xf>
    <xf numFmtId="0" fontId="1" fillId="0" borderId="8" xfId="0" applyFont="1" applyBorder="1"/>
    <xf numFmtId="0" fontId="3" fillId="0" borderId="9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3" xfId="0" applyFont="1" applyBorder="1"/>
    <xf numFmtId="0" fontId="3" fillId="0" borderId="1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12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3" xfId="0" applyBorder="1"/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Border="1"/>
    <xf numFmtId="0" fontId="1" fillId="0" borderId="5" xfId="0" applyFont="1" applyBorder="1"/>
    <xf numFmtId="0" fontId="0" fillId="0" borderId="6" xfId="0" applyBorder="1"/>
    <xf numFmtId="0" fontId="1" fillId="0" borderId="20" xfId="0" applyFont="1" applyBorder="1"/>
    <xf numFmtId="0" fontId="1" fillId="0" borderId="19" xfId="0" applyFont="1" applyBorder="1"/>
    <xf numFmtId="49" fontId="1" fillId="0" borderId="0" xfId="0" applyNumberFormat="1" applyFont="1"/>
    <xf numFmtId="0" fontId="1" fillId="0" borderId="0" xfId="0" quotePrefix="1" applyFont="1"/>
    <xf numFmtId="49" fontId="1" fillId="0" borderId="1" xfId="0" applyNumberFormat="1" applyFont="1" applyBorder="1"/>
    <xf numFmtId="0" fontId="1" fillId="0" borderId="1" xfId="0" quotePrefix="1" applyFont="1" applyBorder="1"/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/>
    <xf numFmtId="0" fontId="1" fillId="0" borderId="15" xfId="0" applyFont="1" applyBorder="1"/>
    <xf numFmtId="164" fontId="1" fillId="0" borderId="0" xfId="0" applyNumberFormat="1" applyFont="1" applyAlignment="1">
      <alignment horizontal="left"/>
    </xf>
    <xf numFmtId="0" fontId="3" fillId="0" borderId="16" xfId="0" applyFont="1" applyBorder="1"/>
    <xf numFmtId="0" fontId="3" fillId="0" borderId="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4" xfId="0" applyFont="1" applyBorder="1"/>
    <xf numFmtId="164" fontId="1" fillId="2" borderId="0" xfId="0" applyNumberFormat="1" applyFont="1" applyFill="1"/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0" borderId="0" xfId="0" applyFont="1"/>
    <xf numFmtId="10" fontId="0" fillId="3" borderId="0" xfId="0" applyNumberFormat="1" applyFill="1" applyProtection="1">
      <protection locked="0"/>
    </xf>
    <xf numFmtId="0" fontId="4" fillId="3" borderId="0" xfId="0" applyFont="1" applyFill="1" applyProtection="1">
      <protection locked="0"/>
    </xf>
    <xf numFmtId="0" fontId="13" fillId="0" borderId="0" xfId="0" applyFont="1"/>
    <xf numFmtId="165" fontId="0" fillId="0" borderId="0" xfId="0" applyNumberFormat="1"/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2" borderId="16" xfId="0" applyFont="1" applyFill="1" applyBorder="1"/>
    <xf numFmtId="0" fontId="3" fillId="2" borderId="1" xfId="0" applyFont="1" applyFill="1" applyBorder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4" fillId="3" borderId="1" xfId="0" applyFont="1" applyFill="1" applyBorder="1" applyProtection="1">
      <protection locked="0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6" xfId="0" applyFont="1" applyBorder="1" applyAlignment="1">
      <alignment horizontal="center"/>
    </xf>
    <xf numFmtId="0" fontId="14" fillId="0" borderId="6" xfId="0" applyFont="1" applyBorder="1"/>
    <xf numFmtId="0" fontId="16" fillId="0" borderId="20" xfId="0" applyFont="1" applyBorder="1" applyAlignment="1">
      <alignment horizontal="center"/>
    </xf>
    <xf numFmtId="0" fontId="14" fillId="0" borderId="20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22" xfId="0" applyFont="1" applyBorder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shrinkToFit="1"/>
    </xf>
    <xf numFmtId="0" fontId="18" fillId="0" borderId="0" xfId="0" applyFont="1"/>
    <xf numFmtId="0" fontId="4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0" fillId="0" borderId="2" xfId="0" applyBorder="1"/>
    <xf numFmtId="0" fontId="3" fillId="2" borderId="1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14" fontId="1" fillId="2" borderId="18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Alignment="1">
      <alignment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shrinkToFit="1"/>
    </xf>
    <xf numFmtId="0" fontId="23" fillId="5" borderId="0" xfId="0" applyFont="1" applyFill="1"/>
    <xf numFmtId="0" fontId="22" fillId="5" borderId="0" xfId="0" applyFont="1" applyFill="1"/>
    <xf numFmtId="0" fontId="14" fillId="5" borderId="0" xfId="0" applyFont="1" applyFill="1"/>
  </cellXfs>
  <cellStyles count="2">
    <cellStyle name="Normal" xfId="0" builtinId="0"/>
    <cellStyle name="Normal 2" xfId="1" xr:uid="{00000000-0005-0000-0000-000001000000}"/>
  </cellStyles>
  <dxfs count="32"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Example'!$H$50:$L$50</c:f>
              <c:numCache>
                <c:formatCode>0.00</c:formatCode>
                <c:ptCount val="5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4">
                  <c:v>6.1</c:v>
                </c:pt>
              </c:numCache>
            </c:numRef>
          </c:xVal>
          <c:yVal>
            <c:numRef>
              <c:f>'Form 429 Example'!$H$56:$L$56</c:f>
              <c:numCache>
                <c:formatCode>0.0</c:formatCode>
                <c:ptCount val="5"/>
                <c:pt idx="0">
                  <c:v>5.7243574169234321</c:v>
                </c:pt>
                <c:pt idx="1">
                  <c:v>4.2089173784059453</c:v>
                </c:pt>
                <c:pt idx="2">
                  <c:v>2.9219105603149345</c:v>
                </c:pt>
                <c:pt idx="4">
                  <c:v>1.8687628398363867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B1-4AA5-B7BC-96FEC53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69024"/>
        <c:axId val="274669416"/>
      </c:scatterChart>
      <c:valAx>
        <c:axId val="2746690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416"/>
        <c:crosses val="autoZero"/>
        <c:crossBetween val="midCat"/>
        <c:majorUnit val="1"/>
        <c:minorUnit val="0.1"/>
      </c:valAx>
      <c:valAx>
        <c:axId val="274669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0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Blank'!$H$50:$L$50</c:f>
              <c:numCache>
                <c:formatCode>0.00</c:formatCode>
                <c:ptCount val="5"/>
              </c:numCache>
            </c:numRef>
          </c:xVal>
          <c:yVal>
            <c:numRef>
              <c:f>'Form 429 Blank'!$H$59:$L$59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A-4F3A-A211-2DCA6C0B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5152"/>
        <c:axId val="278975544"/>
      </c:scatterChart>
      <c:valAx>
        <c:axId val="278975152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544"/>
        <c:crossesAt val="40"/>
        <c:crossBetween val="midCat"/>
        <c:majorUnit val="1"/>
        <c:minorUnit val="0.1"/>
      </c:valAx>
      <c:valAx>
        <c:axId val="278975544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152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Blank'!$H$50:$L$50</c:f>
              <c:numCache>
                <c:formatCode>0.00</c:formatCode>
                <c:ptCount val="5"/>
              </c:numCache>
            </c:numRef>
          </c:xVal>
          <c:yVal>
            <c:numRef>
              <c:f>'Form 429 Blank'!$H$63:$L$63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0-4AD4-8C2F-7F764C637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6328"/>
        <c:axId val="278976720"/>
      </c:scatterChart>
      <c:valAx>
        <c:axId val="278976328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720"/>
        <c:crosses val="autoZero"/>
        <c:crossBetween val="midCat"/>
        <c:majorUnit val="1"/>
        <c:minorUnit val="0.1"/>
      </c:valAx>
      <c:valAx>
        <c:axId val="27897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328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Blank'!$T$23:$T$26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Blank'!$V$23:$V$26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00-4B32-8101-D57205C88456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Blank'!$T$17:$T$29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Blank'!$Q$17:$Q$28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00-4B32-8101-D57205C88456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Blank'!$T$17:$T$28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Blank'!$S$17:$S$28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0-4B32-8101-D57205C88456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Blank'!$T$17:$T$28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Blank'!$R$17:$R$28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0-4B32-8101-D57205C88456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Blank'!$AG$43:$AG$44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 429 Blank'!$AF$43:$AF$44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00-4B32-8101-D57205C88456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600-4B32-8101-D57205C88456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600-4B32-8101-D57205C88456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600-4B32-8101-D57205C88456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600-4B32-8101-D57205C88456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4600-4B32-8101-D57205C88456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600-4B32-8101-D57205C88456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4600-4B32-8101-D57205C88456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4600-4B32-8101-D57205C88456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600-4B32-8101-D57205C8845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4600-4B32-8101-D57205C88456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4600-4B32-8101-D57205C88456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4600-4B32-8101-D57205C88456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4600-4B32-8101-D57205C88456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4600-4B32-8101-D57205C88456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4600-4B32-8101-D57205C88456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4600-4B32-8101-D57205C88456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4600-4B32-8101-D57205C8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7504"/>
        <c:axId val="278977896"/>
      </c:scatterChart>
      <c:valAx>
        <c:axId val="2789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977896"/>
        <c:crosses val="autoZero"/>
        <c:crossBetween val="midCat"/>
      </c:valAx>
      <c:valAx>
        <c:axId val="278977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7504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Example'!$H$50:$L$50</c:f>
              <c:numCache>
                <c:formatCode>0.00</c:formatCode>
                <c:ptCount val="5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4">
                  <c:v>6.1</c:v>
                </c:pt>
              </c:numCache>
            </c:numRef>
          </c:xVal>
          <c:yVal>
            <c:numRef>
              <c:f>'Form 429 Example'!$H$58:$L$58</c:f>
              <c:numCache>
                <c:formatCode>0.0</c:formatCode>
                <c:ptCount val="5"/>
                <c:pt idx="0">
                  <c:v>15.761357362042091</c:v>
                </c:pt>
                <c:pt idx="1">
                  <c:v>15.501041086318949</c:v>
                </c:pt>
                <c:pt idx="2">
                  <c:v>15.45755643571519</c:v>
                </c:pt>
                <c:pt idx="4">
                  <c:v>15.627575503296868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A1-497A-85DE-4C591902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0200"/>
        <c:axId val="274670592"/>
      </c:scatterChart>
      <c:valAx>
        <c:axId val="2746702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592"/>
        <c:crosses val="autoZero"/>
        <c:crossBetween val="midCat"/>
        <c:majorUnit val="1"/>
        <c:minorUnit val="0.1"/>
      </c:valAx>
      <c:valAx>
        <c:axId val="2746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2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Example'!$H$50:$L$50</c:f>
              <c:numCache>
                <c:formatCode>0.00</c:formatCode>
                <c:ptCount val="5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4">
                  <c:v>6.1</c:v>
                </c:pt>
              </c:numCache>
            </c:numRef>
          </c:xVal>
          <c:yVal>
            <c:numRef>
              <c:f>'Form 429 Example'!$H$51:$L$51</c:f>
              <c:numCache>
                <c:formatCode>0.000</c:formatCode>
                <c:ptCount val="5"/>
                <c:pt idx="0">
                  <c:v>2.5329978503150188</c:v>
                </c:pt>
                <c:pt idx="1">
                  <c:v>2.5138039304894209</c:v>
                </c:pt>
                <c:pt idx="2">
                  <c:v>2.49489870884284</c:v>
                </c:pt>
                <c:pt idx="4">
                  <c:v>2.4762757204761492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6A-400F-9694-6B6C7825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1376"/>
        <c:axId val="274671768"/>
      </c:scatterChart>
      <c:valAx>
        <c:axId val="274671376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768"/>
        <c:crosses val="autoZero"/>
        <c:crossBetween val="midCat"/>
        <c:majorUnit val="1"/>
        <c:minorUnit val="0.1"/>
      </c:valAx>
      <c:valAx>
        <c:axId val="274671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Example'!$H$50:$L$50</c:f>
              <c:numCache>
                <c:formatCode>0.00</c:formatCode>
                <c:ptCount val="5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4">
                  <c:v>6.1</c:v>
                </c:pt>
              </c:numCache>
            </c:numRef>
          </c:xVal>
          <c:yVal>
            <c:numRef>
              <c:f>'Form 429 Example'!$H$59:$L$59</c:f>
              <c:numCache>
                <c:formatCode>0</c:formatCode>
                <c:ptCount val="5"/>
                <c:pt idx="0">
                  <c:v>63.681063214077355</c:v>
                </c:pt>
                <c:pt idx="1">
                  <c:v>72.847518079797297</c:v>
                </c:pt>
                <c:pt idx="2">
                  <c:v>81.09720270169116</c:v>
                </c:pt>
                <c:pt idx="4">
                  <c:v>88.04188890693797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4-4D95-A070-B1F4815C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4528"/>
        <c:axId val="276504920"/>
      </c:scatterChart>
      <c:valAx>
        <c:axId val="276504528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920"/>
        <c:crossesAt val="40"/>
        <c:crossBetween val="midCat"/>
        <c:majorUnit val="1"/>
        <c:minorUnit val="0.1"/>
      </c:valAx>
      <c:valAx>
        <c:axId val="276504920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528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Example'!$H$50:$L$50</c:f>
              <c:numCache>
                <c:formatCode>0.00</c:formatCode>
                <c:ptCount val="5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4">
                  <c:v>6.1</c:v>
                </c:pt>
              </c:numCache>
            </c:numRef>
          </c:xVal>
          <c:yVal>
            <c:numRef>
              <c:f>'Form 429 Example'!$H$63:$L$63</c:f>
              <c:numCache>
                <c:formatCode>General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4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C-4CD7-A39C-DF2DCBDD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6096"/>
        <c:axId val="276506488"/>
      </c:scatterChart>
      <c:valAx>
        <c:axId val="276506096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488"/>
        <c:crosses val="autoZero"/>
        <c:crossBetween val="midCat"/>
        <c:majorUnit val="1"/>
        <c:minorUnit val="0.1"/>
      </c:valAx>
      <c:valAx>
        <c:axId val="27650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096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Example'!$T$23:$T$26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Example'!$V$23:$V$26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F9-4F25-8B70-F1F89A4D9A80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Example'!$T$17:$T$29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Example'!$Q$17:$Q$28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95.52</c:v>
                </c:pt>
                <c:pt idx="4">
                  <c:v>84.34</c:v>
                </c:pt>
                <c:pt idx="5">
                  <c:v>64.75</c:v>
                </c:pt>
                <c:pt idx="6">
                  <c:v>50.989999999999995</c:v>
                </c:pt>
                <c:pt idx="7">
                  <c:v>37.319999999999993</c:v>
                </c:pt>
                <c:pt idx="8">
                  <c:v>26.439999999999998</c:v>
                </c:pt>
                <c:pt idx="9">
                  <c:v>17.989999999999998</c:v>
                </c:pt>
                <c:pt idx="10">
                  <c:v>11.120000000000001</c:v>
                </c:pt>
                <c:pt idx="11" formatCode="0.0">
                  <c:v>6.7249999999999996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F9-4F25-8B70-F1F89A4D9A80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Example'!$T$17:$T$28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Example'!$S$17:$S$28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100</c:v>
                </c:pt>
                <c:pt idx="4">
                  <c:v>100</c:v>
                </c:pt>
                <c:pt idx="5">
                  <c:v>#N/A</c:v>
                </c:pt>
                <c:pt idx="6">
                  <c:v>58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F9-4F25-8B70-F1F89A4D9A80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Example'!$T$17:$T$28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Example'!$R$17:$R$28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90</c:v>
                </c:pt>
                <c:pt idx="5">
                  <c:v>#N/A</c:v>
                </c:pt>
                <c:pt idx="6">
                  <c:v>28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F9-4F25-8B70-F1F89A4D9A80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Example'!$AG$43:$AG$44</c:f>
              <c:numCache>
                <c:formatCode>General</c:formatCode>
                <c:ptCount val="2"/>
                <c:pt idx="0">
                  <c:v>3.7621761023862978</c:v>
                </c:pt>
                <c:pt idx="1">
                  <c:v>0</c:v>
                </c:pt>
              </c:numCache>
            </c:numRef>
          </c:xVal>
          <c:yVal>
            <c:numRef>
              <c:f>'Form 429 Example'!$AF$43:$AF$44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F9-4F25-8B70-F1F89A4D9A80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F9-4F25-8B70-F1F89A4D9A80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3CF9-4F25-8B70-F1F89A4D9A80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3CF9-4F25-8B70-F1F89A4D9A80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CF9-4F25-8B70-F1F89A4D9A80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3CF9-4F25-8B70-F1F89A4D9A80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CF9-4F25-8B70-F1F89A4D9A80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3CF9-4F25-8B70-F1F89A4D9A80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3CF9-4F25-8B70-F1F89A4D9A80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CF9-4F25-8B70-F1F89A4D9A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3CF9-4F25-8B70-F1F89A4D9A80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3CF9-4F25-8B70-F1F89A4D9A80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3CF9-4F25-8B70-F1F89A4D9A80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3CF9-4F25-8B70-F1F89A4D9A80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3CF9-4F25-8B70-F1F89A4D9A80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3CF9-4F25-8B70-F1F89A4D9A80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3CF9-4F25-8B70-F1F89A4D9A80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3CF9-4F25-8B70-F1F89A4D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7272"/>
        <c:axId val="276507664"/>
      </c:scatterChart>
      <c:valAx>
        <c:axId val="27650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507664"/>
        <c:crosses val="autoZero"/>
        <c:crossBetween val="midCat"/>
      </c:valAx>
      <c:valAx>
        <c:axId val="276507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7272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Blank'!$H$50:$L$50</c:f>
              <c:numCache>
                <c:formatCode>0.00</c:formatCode>
                <c:ptCount val="5"/>
              </c:numCache>
            </c:numRef>
          </c:xVal>
          <c:yVal>
            <c:numRef>
              <c:f>'Form 429 Blank'!$H$56:$L$56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AE-4FB7-8FDD-547AA7E41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9624"/>
        <c:axId val="276510016"/>
      </c:scatterChart>
      <c:valAx>
        <c:axId val="2765096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016"/>
        <c:crosses val="autoZero"/>
        <c:crossBetween val="midCat"/>
        <c:majorUnit val="1"/>
        <c:minorUnit val="0.1"/>
      </c:valAx>
      <c:valAx>
        <c:axId val="2765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96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Blank'!$H$50:$L$50</c:f>
              <c:numCache>
                <c:formatCode>0.00</c:formatCode>
                <c:ptCount val="5"/>
              </c:numCache>
            </c:numRef>
          </c:xVal>
          <c:yVal>
            <c:numRef>
              <c:f>'Form 429 Blank'!$H$58:$L$58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6-4770-A6A9-8C641F17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10800"/>
        <c:axId val="276511192"/>
      </c:scatterChart>
      <c:valAx>
        <c:axId val="2765108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1192"/>
        <c:crosses val="autoZero"/>
        <c:crossBetween val="midCat"/>
        <c:majorUnit val="1"/>
        <c:minorUnit val="0.1"/>
      </c:valAx>
      <c:valAx>
        <c:axId val="276511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8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Blank'!$H$50:$L$50</c:f>
              <c:numCache>
                <c:formatCode>0.00</c:formatCode>
                <c:ptCount val="5"/>
              </c:numCache>
            </c:numRef>
          </c:xVal>
          <c:yVal>
            <c:numRef>
              <c:f>'Form 429 Blank'!$H$51:$L$51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6-4C40-8172-5F5A8B41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5704"/>
        <c:axId val="278974368"/>
      </c:scatterChart>
      <c:valAx>
        <c:axId val="276505704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4368"/>
        <c:crosses val="autoZero"/>
        <c:crossBetween val="midCat"/>
        <c:majorUnit val="1"/>
        <c:minorUnit val="0.1"/>
      </c:valAx>
      <c:valAx>
        <c:axId val="2789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5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17</xdr:col>
      <xdr:colOff>342900</xdr:colOff>
      <xdr:row>107</xdr:row>
      <xdr:rowOff>150813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17</xdr:col>
      <xdr:colOff>352425</xdr:colOff>
      <xdr:row>129</xdr:row>
      <xdr:rowOff>160338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17</xdr:col>
      <xdr:colOff>361949</xdr:colOff>
      <xdr:row>152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17</xdr:col>
      <xdr:colOff>361950</xdr:colOff>
      <xdr:row>172</xdr:row>
      <xdr:rowOff>47624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17</xdr:col>
      <xdr:colOff>352425</xdr:colOff>
      <xdr:row>197</xdr:row>
      <xdr:rowOff>57150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18</xdr:col>
      <xdr:colOff>339724</xdr:colOff>
      <xdr:row>248</xdr:row>
      <xdr:rowOff>9525</xdr:rowOff>
    </xdr:to>
    <xdr:graphicFrame macro="">
      <xdr:nvGraphicFramePr>
        <xdr:cNvPr id="7" name="Chart 2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4</xdr:row>
          <xdr:rowOff>152400</xdr:rowOff>
        </xdr:from>
        <xdr:to>
          <xdr:col>17</xdr:col>
          <xdr:colOff>495300</xdr:colOff>
          <xdr:row>6</xdr:row>
          <xdr:rowOff>30480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533400</xdr:colOff>
          <xdr:row>4</xdr:row>
          <xdr:rowOff>152400</xdr:rowOff>
        </xdr:from>
        <xdr:to>
          <xdr:col>18</xdr:col>
          <xdr:colOff>312420</xdr:colOff>
          <xdr:row>6</xdr:row>
          <xdr:rowOff>30480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17</xdr:col>
      <xdr:colOff>342900</xdr:colOff>
      <xdr:row>107</xdr:row>
      <xdr:rowOff>150813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17</xdr:col>
      <xdr:colOff>352425</xdr:colOff>
      <xdr:row>129</xdr:row>
      <xdr:rowOff>160338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17</xdr:col>
      <xdr:colOff>361949</xdr:colOff>
      <xdr:row>152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17</xdr:col>
      <xdr:colOff>361950</xdr:colOff>
      <xdr:row>172</xdr:row>
      <xdr:rowOff>47624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17</xdr:col>
      <xdr:colOff>352425</xdr:colOff>
      <xdr:row>197</xdr:row>
      <xdr:rowOff>57150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18</xdr:col>
      <xdr:colOff>339724</xdr:colOff>
      <xdr:row>248</xdr:row>
      <xdr:rowOff>9525</xdr:rowOff>
    </xdr:to>
    <xdr:graphicFrame macro="">
      <xdr:nvGraphicFramePr>
        <xdr:cNvPr id="7" name="Chart 2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4</xdr:row>
          <xdr:rowOff>152400</xdr:rowOff>
        </xdr:from>
        <xdr:to>
          <xdr:col>17</xdr:col>
          <xdr:colOff>495300</xdr:colOff>
          <xdr:row>6</xdr:row>
          <xdr:rowOff>30480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533400</xdr:colOff>
          <xdr:row>4</xdr:row>
          <xdr:rowOff>152400</xdr:rowOff>
        </xdr:from>
        <xdr:to>
          <xdr:col>18</xdr:col>
          <xdr:colOff>312420</xdr:colOff>
          <xdr:row>6</xdr:row>
          <xdr:rowOff>30480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selection activeCell="E32" sqref="E32"/>
    </sheetView>
  </sheetViews>
  <sheetFormatPr defaultRowHeight="13.2" x14ac:dyDescent="0.25"/>
  <cols>
    <col min="10" max="10" width="10" customWidth="1"/>
  </cols>
  <sheetData>
    <row r="1" spans="1:2" x14ac:dyDescent="0.25">
      <c r="A1" s="54" t="s">
        <v>222</v>
      </c>
    </row>
    <row r="3" spans="1:2" x14ac:dyDescent="0.25">
      <c r="A3" s="52" t="s">
        <v>219</v>
      </c>
    </row>
    <row r="4" spans="1:2" x14ac:dyDescent="0.25">
      <c r="A4" s="52" t="s">
        <v>220</v>
      </c>
    </row>
    <row r="5" spans="1:2" x14ac:dyDescent="0.25">
      <c r="A5" s="52" t="s">
        <v>221</v>
      </c>
    </row>
    <row r="7" spans="1:2" x14ac:dyDescent="0.25">
      <c r="A7" s="54" t="s">
        <v>223</v>
      </c>
    </row>
    <row r="9" spans="1:2" x14ac:dyDescent="0.25">
      <c r="A9" s="52" t="s">
        <v>224</v>
      </c>
    </row>
    <row r="11" spans="1:2" x14ac:dyDescent="0.25">
      <c r="A11" s="54" t="s">
        <v>160</v>
      </c>
    </row>
    <row r="12" spans="1:2" x14ac:dyDescent="0.25">
      <c r="A12" s="55"/>
    </row>
    <row r="13" spans="1:2" x14ac:dyDescent="0.25">
      <c r="A13" s="56">
        <v>1</v>
      </c>
      <c r="B13" s="52" t="s">
        <v>164</v>
      </c>
    </row>
    <row r="14" spans="1:2" x14ac:dyDescent="0.25">
      <c r="A14" s="53"/>
      <c r="B14" s="52" t="s">
        <v>165</v>
      </c>
    </row>
    <row r="15" spans="1:2" x14ac:dyDescent="0.25">
      <c r="A15" s="53"/>
      <c r="B15" s="52"/>
    </row>
    <row r="16" spans="1:2" x14ac:dyDescent="0.25">
      <c r="A16" s="53">
        <v>2</v>
      </c>
      <c r="B16" s="52" t="s">
        <v>213</v>
      </c>
    </row>
    <row r="17" spans="1:2" x14ac:dyDescent="0.25">
      <c r="A17" s="53"/>
      <c r="B17" s="52" t="s">
        <v>214</v>
      </c>
    </row>
    <row r="18" spans="1:2" x14ac:dyDescent="0.25">
      <c r="A18" s="53"/>
      <c r="B18" s="52" t="s">
        <v>212</v>
      </c>
    </row>
    <row r="19" spans="1:2" x14ac:dyDescent="0.25">
      <c r="A19" s="53"/>
      <c r="B19" s="52" t="s">
        <v>162</v>
      </c>
    </row>
    <row r="20" spans="1:2" x14ac:dyDescent="0.25">
      <c r="A20" s="53"/>
      <c r="B20" s="52"/>
    </row>
    <row r="21" spans="1:2" x14ac:dyDescent="0.25">
      <c r="A21" s="53">
        <v>3</v>
      </c>
      <c r="B21" t="s">
        <v>158</v>
      </c>
    </row>
    <row r="22" spans="1:2" x14ac:dyDescent="0.25">
      <c r="A22" s="53"/>
      <c r="B22" s="52" t="s">
        <v>159</v>
      </c>
    </row>
    <row r="23" spans="1:2" x14ac:dyDescent="0.25">
      <c r="A23" s="53"/>
    </row>
    <row r="24" spans="1:2" x14ac:dyDescent="0.25">
      <c r="A24" s="53">
        <v>4</v>
      </c>
      <c r="B24" s="52" t="s">
        <v>215</v>
      </c>
    </row>
    <row r="26" spans="1:2" x14ac:dyDescent="0.25">
      <c r="A26" t="s">
        <v>225</v>
      </c>
    </row>
    <row r="27" spans="1:2" x14ac:dyDescent="0.25">
      <c r="A27" s="52" t="s">
        <v>234</v>
      </c>
    </row>
    <row r="28" spans="1:2" x14ac:dyDescent="0.25">
      <c r="A28" t="s">
        <v>226</v>
      </c>
    </row>
    <row r="29" spans="1:2" x14ac:dyDescent="0.25">
      <c r="A29" t="s">
        <v>227</v>
      </c>
    </row>
    <row r="31" spans="1:2" x14ac:dyDescent="0.25">
      <c r="A31" s="55" t="s">
        <v>161</v>
      </c>
    </row>
    <row r="32" spans="1:2" x14ac:dyDescent="0.25">
      <c r="A32" s="53"/>
    </row>
    <row r="33" spans="1:13" x14ac:dyDescent="0.25">
      <c r="A33" s="53">
        <v>5</v>
      </c>
      <c r="B33" s="52" t="s">
        <v>163</v>
      </c>
    </row>
    <row r="34" spans="1:13" x14ac:dyDescent="0.25">
      <c r="A34" s="53"/>
      <c r="B34" s="52" t="s">
        <v>217</v>
      </c>
    </row>
    <row r="35" spans="1:13" x14ac:dyDescent="0.25">
      <c r="A35" s="53"/>
      <c r="B35" s="52"/>
    </row>
    <row r="36" spans="1:13" x14ac:dyDescent="0.25">
      <c r="A36" s="53">
        <v>6</v>
      </c>
      <c r="B36" s="52" t="s">
        <v>218</v>
      </c>
    </row>
    <row r="37" spans="1:13" x14ac:dyDescent="0.25">
      <c r="A37" s="53"/>
      <c r="B37" s="52" t="s">
        <v>216</v>
      </c>
    </row>
    <row r="38" spans="1:13" x14ac:dyDescent="0.25">
      <c r="A38" s="53"/>
    </row>
    <row r="39" spans="1:13" x14ac:dyDescent="0.25">
      <c r="A39" s="53">
        <v>7</v>
      </c>
      <c r="B39" s="173" t="s">
        <v>242</v>
      </c>
      <c r="C39" s="173"/>
      <c r="D39" s="173"/>
      <c r="E39" s="173"/>
      <c r="F39" s="173"/>
      <c r="G39" s="173"/>
      <c r="H39" s="173"/>
      <c r="I39" s="173"/>
      <c r="J39" s="173"/>
      <c r="M39" s="52"/>
    </row>
    <row r="40" spans="1:13" x14ac:dyDescent="0.25">
      <c r="A40" s="53"/>
      <c r="B40" s="173"/>
      <c r="C40" s="173"/>
      <c r="D40" s="173"/>
      <c r="E40" s="173"/>
      <c r="F40" s="173"/>
      <c r="G40" s="173"/>
      <c r="H40" s="173"/>
      <c r="I40" s="173"/>
      <c r="J40" s="173"/>
      <c r="M40" s="52"/>
    </row>
    <row r="41" spans="1:13" x14ac:dyDescent="0.25">
      <c r="A41" s="136"/>
    </row>
    <row r="42" spans="1:13" x14ac:dyDescent="0.25">
      <c r="A42" s="52" t="s">
        <v>228</v>
      </c>
    </row>
    <row r="43" spans="1:13" x14ac:dyDescent="0.25">
      <c r="A43" s="52" t="s">
        <v>229</v>
      </c>
    </row>
    <row r="44" spans="1:13" x14ac:dyDescent="0.25">
      <c r="A44" s="136"/>
    </row>
    <row r="45" spans="1:13" x14ac:dyDescent="0.25">
      <c r="A45" s="54" t="s">
        <v>230</v>
      </c>
    </row>
    <row r="46" spans="1:13" x14ac:dyDescent="0.25">
      <c r="A46" s="136"/>
    </row>
    <row r="47" spans="1:13" x14ac:dyDescent="0.25">
      <c r="A47" s="52" t="s">
        <v>231</v>
      </c>
    </row>
    <row r="48" spans="1:13" x14ac:dyDescent="0.25">
      <c r="A48" s="136"/>
    </row>
    <row r="49" spans="1:1" x14ac:dyDescent="0.25">
      <c r="A49" s="54" t="s">
        <v>232</v>
      </c>
    </row>
    <row r="50" spans="1:1" x14ac:dyDescent="0.25">
      <c r="A50" s="136"/>
    </row>
    <row r="51" spans="1:1" x14ac:dyDescent="0.25">
      <c r="A51" s="52" t="s">
        <v>233</v>
      </c>
    </row>
    <row r="52" spans="1:1" x14ac:dyDescent="0.25">
      <c r="A52" s="136"/>
    </row>
    <row r="53" spans="1:1" x14ac:dyDescent="0.25">
      <c r="A53" s="53"/>
    </row>
    <row r="54" spans="1:1" x14ac:dyDescent="0.25">
      <c r="A54" s="53"/>
    </row>
    <row r="55" spans="1:1" x14ac:dyDescent="0.25">
      <c r="A55" s="53"/>
    </row>
    <row r="56" spans="1:1" x14ac:dyDescent="0.25">
      <c r="A56" s="53"/>
    </row>
    <row r="57" spans="1:1" x14ac:dyDescent="0.25">
      <c r="A57" s="53"/>
    </row>
    <row r="58" spans="1:1" x14ac:dyDescent="0.25">
      <c r="A58" s="53"/>
    </row>
    <row r="59" spans="1:1" x14ac:dyDescent="0.25">
      <c r="A59" s="53"/>
    </row>
    <row r="60" spans="1:1" x14ac:dyDescent="0.25">
      <c r="A60" s="53"/>
    </row>
    <row r="61" spans="1:1" x14ac:dyDescent="0.25">
      <c r="A61" s="53"/>
    </row>
    <row r="62" spans="1:1" x14ac:dyDescent="0.25">
      <c r="A62" s="53"/>
    </row>
    <row r="63" spans="1:1" x14ac:dyDescent="0.25">
      <c r="A63" s="53"/>
    </row>
    <row r="64" spans="1:1" x14ac:dyDescent="0.25">
      <c r="A64" s="53"/>
    </row>
    <row r="65" spans="1:1" x14ac:dyDescent="0.25">
      <c r="A65" s="53"/>
    </row>
  </sheetData>
  <sheetProtection password="CD0D" sheet="1" objects="1" scenarios="1"/>
  <mergeCells count="1">
    <mergeCell ref="B39:J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51"/>
  <sheetViews>
    <sheetView zoomScaleNormal="100" workbookViewId="0">
      <selection activeCell="P37" sqref="P37"/>
    </sheetView>
  </sheetViews>
  <sheetFormatPr defaultColWidth="9.109375" defaultRowHeight="13.2" x14ac:dyDescent="0.25"/>
  <cols>
    <col min="1" max="1" width="9.109375" style="4"/>
    <col min="2" max="2" width="8.44140625" style="4" customWidth="1"/>
    <col min="3" max="3" width="5.44140625" style="4" customWidth="1"/>
    <col min="4" max="4" width="5.33203125" style="4" customWidth="1"/>
    <col min="5" max="5" width="7.109375" style="4" customWidth="1"/>
    <col min="6" max="6" width="9.88671875" style="4" customWidth="1"/>
    <col min="7" max="7" width="9.109375" style="4"/>
    <col min="8" max="14" width="8.88671875" style="4" customWidth="1"/>
    <col min="15" max="16" width="9.44140625" style="4" customWidth="1"/>
    <col min="17" max="17" width="10.109375" style="4" customWidth="1"/>
    <col min="18" max="18" width="9.6640625" style="4" customWidth="1"/>
    <col min="19" max="19" width="9.109375" style="4" customWidth="1"/>
    <col min="20" max="20" width="9.109375" style="4" hidden="1" customWidth="1"/>
    <col min="21" max="21" width="11.5546875" style="4" hidden="1" customWidth="1"/>
    <col min="22" max="35" width="9.109375" style="4" hidden="1" customWidth="1"/>
    <col min="36" max="48" width="5.6640625" style="4" hidden="1" customWidth="1"/>
    <col min="49" max="50" width="4.6640625" style="4" hidden="1" customWidth="1"/>
    <col min="51" max="61" width="9.109375" style="4" hidden="1" customWidth="1"/>
    <col min="62" max="63" width="4.6640625" style="4" hidden="1" customWidth="1"/>
    <col min="64" max="16384" width="9.109375" style="4"/>
  </cols>
  <sheetData>
    <row r="1" spans="1:63" x14ac:dyDescent="0.25">
      <c r="A1"/>
      <c r="B1" s="181" t="s">
        <v>245</v>
      </c>
      <c r="C1" s="182"/>
      <c r="D1" s="183"/>
      <c r="E1" s="183"/>
      <c r="F1" s="183"/>
      <c r="G1" s="183"/>
      <c r="H1" s="183"/>
      <c r="I1" s="79"/>
      <c r="J1" s="79"/>
      <c r="K1" s="79"/>
      <c r="L1" s="79"/>
      <c r="M1" s="79"/>
      <c r="N1" s="79"/>
      <c r="O1" s="79"/>
      <c r="P1" s="80" t="s">
        <v>186</v>
      </c>
      <c r="Q1" s="81"/>
      <c r="R1" s="142" t="s">
        <v>246</v>
      </c>
      <c r="S1" s="82"/>
      <c r="T1" s="3"/>
      <c r="U1" s="3"/>
      <c r="AW1"/>
      <c r="AX1"/>
      <c r="BJ1"/>
      <c r="BK1"/>
    </row>
    <row r="2" spans="1:63" x14ac:dyDescent="0.25">
      <c r="A2"/>
      <c r="B2" s="83" t="s">
        <v>211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4"/>
      <c r="R2" s="87"/>
      <c r="S2" s="88"/>
      <c r="T2" s="3"/>
      <c r="U2" s="3"/>
      <c r="AW2"/>
      <c r="AX2"/>
      <c r="BJ2"/>
      <c r="BK2"/>
    </row>
    <row r="3" spans="1:63" x14ac:dyDescent="0.25">
      <c r="A3"/>
      <c r="B3" s="89" t="s">
        <v>236</v>
      </c>
      <c r="C3" s="50"/>
      <c r="D3" s="24"/>
      <c r="E3" s="24"/>
      <c r="F3" s="24"/>
      <c r="G3" s="24"/>
      <c r="H3" s="24" t="s">
        <v>0</v>
      </c>
      <c r="I3" s="24"/>
      <c r="J3" s="184">
        <v>40698</v>
      </c>
      <c r="K3" s="184"/>
      <c r="L3" s="184"/>
      <c r="M3" s="40"/>
      <c r="N3" s="24"/>
      <c r="O3" s="24"/>
      <c r="P3"/>
      <c r="Q3" s="24" t="s">
        <v>2</v>
      </c>
      <c r="R3" s="143">
        <v>5</v>
      </c>
      <c r="S3" s="90"/>
      <c r="T3" s="3"/>
      <c r="AW3"/>
      <c r="AX3"/>
      <c r="BJ3"/>
      <c r="BK3"/>
    </row>
    <row r="4" spans="1:63" x14ac:dyDescent="0.25">
      <c r="A4"/>
      <c r="B4" s="91" t="s">
        <v>1</v>
      </c>
      <c r="C4" s="24"/>
      <c r="D4" s="24"/>
      <c r="E4" s="24"/>
      <c r="F4" s="5">
        <v>123456</v>
      </c>
      <c r="G4" s="24"/>
      <c r="H4" s="24" t="s">
        <v>239</v>
      </c>
      <c r="I4" s="24"/>
      <c r="J4" s="143" t="s">
        <v>247</v>
      </c>
      <c r="K4" s="143"/>
      <c r="L4" s="143"/>
      <c r="M4" s="40"/>
      <c r="N4" s="24"/>
      <c r="O4" s="24"/>
      <c r="P4" s="24"/>
      <c r="Q4" s="24"/>
      <c r="R4" s="24"/>
      <c r="S4" s="90"/>
      <c r="T4" s="3"/>
      <c r="U4" s="3"/>
      <c r="AW4"/>
      <c r="AX4"/>
      <c r="BJ4"/>
      <c r="BK4"/>
    </row>
    <row r="5" spans="1:63" ht="13.8" thickBot="1" x14ac:dyDescent="0.3">
      <c r="A5"/>
      <c r="B5" s="91" t="s">
        <v>237</v>
      </c>
      <c r="C5" s="24"/>
      <c r="D5" s="24"/>
      <c r="E5" s="24"/>
      <c r="F5" s="5">
        <v>17619</v>
      </c>
      <c r="G5" s="24"/>
      <c r="H5" s="24" t="s">
        <v>238</v>
      </c>
      <c r="I5" s="24"/>
      <c r="J5" s="143" t="s">
        <v>248</v>
      </c>
      <c r="K5" s="143"/>
      <c r="L5" s="64"/>
      <c r="M5" s="40"/>
      <c r="N5" s="44"/>
      <c r="O5" s="24"/>
      <c r="P5" s="44"/>
      <c r="Q5" s="44"/>
      <c r="R5" s="44"/>
      <c r="S5" s="92"/>
      <c r="T5" s="3"/>
      <c r="U5" s="3"/>
      <c r="AW5"/>
      <c r="AX5"/>
      <c r="BJ5"/>
      <c r="BK5"/>
    </row>
    <row r="6" spans="1:63" ht="13.8" x14ac:dyDescent="0.3">
      <c r="A6"/>
      <c r="B6" s="93" t="s">
        <v>3</v>
      </c>
      <c r="C6" s="81"/>
      <c r="D6" s="79" t="s">
        <v>4</v>
      </c>
      <c r="E6" s="79"/>
      <c r="F6" s="79"/>
      <c r="G6" s="185" t="s">
        <v>249</v>
      </c>
      <c r="H6" s="185"/>
      <c r="I6" s="79" t="s">
        <v>6</v>
      </c>
      <c r="J6" s="6" t="s">
        <v>243</v>
      </c>
      <c r="K6" s="6"/>
      <c r="L6" s="79" t="s">
        <v>100</v>
      </c>
      <c r="M6" s="72"/>
      <c r="N6" s="62" t="s">
        <v>109</v>
      </c>
      <c r="O6" s="94" t="s">
        <v>85</v>
      </c>
      <c r="P6" s="66">
        <v>100</v>
      </c>
      <c r="Q6" s="95" t="s">
        <v>170</v>
      </c>
      <c r="R6" s="96"/>
      <c r="S6" s="63"/>
      <c r="T6" s="3"/>
      <c r="U6" s="3"/>
      <c r="AW6"/>
      <c r="AX6"/>
      <c r="BJ6"/>
      <c r="BK6"/>
    </row>
    <row r="7" spans="1:63" x14ac:dyDescent="0.25">
      <c r="A7"/>
      <c r="B7" s="89"/>
      <c r="C7" s="50"/>
      <c r="D7" s="24" t="s">
        <v>5</v>
      </c>
      <c r="E7" s="24"/>
      <c r="F7" s="24"/>
      <c r="G7" s="186" t="s">
        <v>250</v>
      </c>
      <c r="H7" s="186"/>
      <c r="I7" s="24" t="s">
        <v>93</v>
      </c>
      <c r="J7" s="40" t="s">
        <v>251</v>
      </c>
      <c r="K7" s="40"/>
      <c r="L7" s="24" t="s">
        <v>91</v>
      </c>
      <c r="M7" s="40" t="s">
        <v>97</v>
      </c>
      <c r="N7" s="24" t="s">
        <v>190</v>
      </c>
      <c r="O7"/>
      <c r="P7" s="134"/>
      <c r="Q7" s="97" t="s">
        <v>171</v>
      </c>
      <c r="R7" s="187"/>
      <c r="S7" s="188"/>
      <c r="T7" s="3"/>
      <c r="U7" s="3"/>
      <c r="AW7"/>
      <c r="AX7"/>
      <c r="BJ7"/>
      <c r="BK7"/>
    </row>
    <row r="8" spans="1:63" ht="13.8" thickBot="1" x14ac:dyDescent="0.3">
      <c r="A8"/>
      <c r="B8" s="98"/>
      <c r="C8" s="44"/>
      <c r="D8" s="44" t="s">
        <v>205</v>
      </c>
      <c r="E8" s="99"/>
      <c r="F8" s="99"/>
      <c r="G8" s="99"/>
      <c r="H8" s="60"/>
      <c r="I8" s="99"/>
      <c r="J8" s="99"/>
      <c r="K8" s="99"/>
      <c r="L8" s="100" t="s">
        <v>206</v>
      </c>
      <c r="M8" s="60"/>
      <c r="N8" s="60"/>
      <c r="O8" s="60"/>
      <c r="P8" s="99"/>
      <c r="Q8" s="99"/>
      <c r="R8" s="99"/>
      <c r="S8" s="101"/>
      <c r="T8" s="3"/>
      <c r="U8" s="3"/>
      <c r="AW8"/>
      <c r="AX8"/>
      <c r="BJ8"/>
      <c r="BK8"/>
    </row>
    <row r="9" spans="1:63" x14ac:dyDescent="0.25">
      <c r="A9"/>
      <c r="B9" s="89" t="s">
        <v>70</v>
      </c>
      <c r="C9" s="50"/>
      <c r="D9" s="24"/>
      <c r="E9" s="24"/>
      <c r="F9" s="24"/>
      <c r="G9" s="24"/>
      <c r="H9" s="24"/>
      <c r="I9" s="24"/>
      <c r="J9" s="50" t="s">
        <v>7</v>
      </c>
      <c r="K9" s="50"/>
      <c r="L9" s="24"/>
      <c r="M9" s="24"/>
      <c r="N9" s="24"/>
      <c r="O9" s="24"/>
      <c r="P9" s="24"/>
      <c r="Q9" s="24"/>
      <c r="R9" s="24"/>
      <c r="S9" s="102"/>
      <c r="T9" s="3"/>
      <c r="U9" s="3"/>
      <c r="V9" s="32"/>
      <c r="AW9"/>
      <c r="AX9"/>
      <c r="BJ9"/>
      <c r="BK9"/>
    </row>
    <row r="10" spans="1:63" x14ac:dyDescent="0.25">
      <c r="A10"/>
      <c r="B10" s="89"/>
      <c r="C10" s="50"/>
      <c r="D10" s="24"/>
      <c r="E10" s="24"/>
      <c r="F10" s="174" t="s">
        <v>140</v>
      </c>
      <c r="G10" s="174"/>
      <c r="H10" s="174"/>
      <c r="I10" s="174"/>
      <c r="J10" s="174"/>
      <c r="K10" s="174"/>
      <c r="L10" s="174"/>
      <c r="M10" s="24"/>
      <c r="N10" s="174" t="s">
        <v>141</v>
      </c>
      <c r="O10" s="174"/>
      <c r="P10" s="174"/>
      <c r="Q10" s="24"/>
      <c r="R10" s="24"/>
      <c r="S10" s="102"/>
      <c r="T10" s="3"/>
      <c r="U10" s="3"/>
      <c r="V10" s="32" t="s">
        <v>141</v>
      </c>
      <c r="AW10"/>
      <c r="AX10"/>
      <c r="BJ10"/>
      <c r="BK10"/>
    </row>
    <row r="11" spans="1:63" x14ac:dyDescent="0.25">
      <c r="A11"/>
      <c r="B11" s="91" t="s">
        <v>60</v>
      </c>
      <c r="C11" s="24"/>
      <c r="D11" s="24"/>
      <c r="E11" s="24"/>
      <c r="F11" s="8" t="s">
        <v>252</v>
      </c>
      <c r="G11" s="8" t="s">
        <v>253</v>
      </c>
      <c r="H11" s="8" t="s">
        <v>254</v>
      </c>
      <c r="I11" s="8" t="s">
        <v>255</v>
      </c>
      <c r="J11" s="8" t="s">
        <v>256</v>
      </c>
      <c r="K11" s="8"/>
      <c r="L11" s="9"/>
      <c r="M11"/>
      <c r="N11" s="8" t="s">
        <v>257</v>
      </c>
      <c r="O11" s="8"/>
      <c r="P11" s="8" t="s">
        <v>258</v>
      </c>
      <c r="Q11"/>
      <c r="R11" s="103" t="s">
        <v>69</v>
      </c>
      <c r="S11" s="90"/>
      <c r="T11" s="3"/>
      <c r="U11" s="3"/>
      <c r="V11" s="4" t="s">
        <v>257</v>
      </c>
      <c r="AW11"/>
      <c r="AX11"/>
      <c r="BJ11"/>
      <c r="BK11"/>
    </row>
    <row r="12" spans="1:63" x14ac:dyDescent="0.25">
      <c r="A12"/>
      <c r="B12" s="91" t="s">
        <v>61</v>
      </c>
      <c r="C12" s="24"/>
      <c r="D12" s="24"/>
      <c r="E12" s="24"/>
      <c r="F12" s="8" t="s">
        <v>259</v>
      </c>
      <c r="G12" s="8" t="s">
        <v>259</v>
      </c>
      <c r="H12" s="8" t="s">
        <v>260</v>
      </c>
      <c r="I12" s="8" t="s">
        <v>260</v>
      </c>
      <c r="J12" s="8" t="s">
        <v>261</v>
      </c>
      <c r="K12" s="8"/>
      <c r="L12" s="9"/>
      <c r="M12"/>
      <c r="N12" s="24" t="s">
        <v>191</v>
      </c>
      <c r="O12" s="24" t="s">
        <v>191</v>
      </c>
      <c r="P12" s="24" t="s">
        <v>191</v>
      </c>
      <c r="Q12"/>
      <c r="R12" s="61" t="s">
        <v>65</v>
      </c>
      <c r="S12" s="90" t="s">
        <v>66</v>
      </c>
      <c r="T12" s="3"/>
      <c r="U12" s="3"/>
      <c r="V12" s="4" t="s">
        <v>258</v>
      </c>
      <c r="AW12"/>
      <c r="AX12"/>
      <c r="BJ12"/>
      <c r="BK12"/>
    </row>
    <row r="13" spans="1:63" x14ac:dyDescent="0.25">
      <c r="A13"/>
      <c r="B13" s="91"/>
      <c r="C13" s="24"/>
      <c r="D13" s="24"/>
      <c r="E13" s="24"/>
      <c r="F13" s="8"/>
      <c r="G13" s="8"/>
      <c r="H13" s="8"/>
      <c r="I13" s="8"/>
      <c r="J13" s="8"/>
      <c r="K13" s="8"/>
      <c r="L13" s="9"/>
      <c r="M13" s="24"/>
      <c r="N13" s="8">
        <v>5.8</v>
      </c>
      <c r="O13" s="8"/>
      <c r="P13" s="39">
        <v>18.5</v>
      </c>
      <c r="Q13" s="61"/>
      <c r="R13" s="61"/>
      <c r="S13" s="90"/>
      <c r="T13" s="3"/>
      <c r="U13" s="3"/>
      <c r="V13" s="4" t="s">
        <v>209</v>
      </c>
      <c r="AW13"/>
      <c r="AX13"/>
      <c r="BJ13"/>
      <c r="BK13"/>
    </row>
    <row r="14" spans="1:63" x14ac:dyDescent="0.25">
      <c r="A14"/>
      <c r="B14" s="104"/>
      <c r="C14" s="24"/>
      <c r="D14" s="24"/>
      <c r="E14" s="24"/>
      <c r="F14" s="61"/>
      <c r="G14" s="61"/>
      <c r="H14" s="61"/>
      <c r="I14" s="61"/>
      <c r="J14" s="61"/>
      <c r="K14" s="61"/>
      <c r="L14"/>
      <c r="M14" s="61" t="s">
        <v>139</v>
      </c>
      <c r="N14" s="61" t="s">
        <v>21</v>
      </c>
      <c r="O14" s="61" t="s">
        <v>21</v>
      </c>
      <c r="P14" s="61" t="s">
        <v>21</v>
      </c>
      <c r="Q14" s="61" t="s">
        <v>74</v>
      </c>
      <c r="R14" s="61"/>
      <c r="S14" s="90"/>
      <c r="T14" s="3"/>
      <c r="U14" s="3"/>
      <c r="AW14"/>
      <c r="AX14"/>
      <c r="BJ14"/>
      <c r="BK14"/>
    </row>
    <row r="15" spans="1:63" x14ac:dyDescent="0.25">
      <c r="A15"/>
      <c r="B15" s="105"/>
      <c r="C15" s="85"/>
      <c r="D15" s="85"/>
      <c r="E15" s="85"/>
      <c r="F15" s="57"/>
      <c r="G15" s="57"/>
      <c r="H15" s="57"/>
      <c r="I15" s="57"/>
      <c r="J15" s="57"/>
      <c r="K15" s="57"/>
      <c r="L15" s="106"/>
      <c r="M15" s="85" t="s">
        <v>21</v>
      </c>
      <c r="N15" s="57"/>
      <c r="O15" s="57"/>
      <c r="P15" s="57"/>
      <c r="Q15" s="57" t="s">
        <v>21</v>
      </c>
      <c r="R15" s="61"/>
      <c r="S15" s="90"/>
      <c r="T15" s="3"/>
      <c r="U15" s="3"/>
      <c r="AE15" s="32" t="s">
        <v>107</v>
      </c>
      <c r="AW15"/>
      <c r="AX15"/>
      <c r="BJ15"/>
      <c r="BK15"/>
    </row>
    <row r="16" spans="1:63" x14ac:dyDescent="0.25">
      <c r="A16"/>
      <c r="B16" s="105" t="s">
        <v>8</v>
      </c>
      <c r="C16" s="85"/>
      <c r="D16" s="85"/>
      <c r="E16" s="85"/>
      <c r="F16" s="45">
        <v>32</v>
      </c>
      <c r="G16" s="45">
        <v>19</v>
      </c>
      <c r="H16" s="45">
        <v>10</v>
      </c>
      <c r="I16" s="45">
        <v>20</v>
      </c>
      <c r="J16" s="45">
        <v>1</v>
      </c>
      <c r="K16" s="45"/>
      <c r="L16" s="46"/>
      <c r="M16" s="85">
        <f>SUM(F16:L16)</f>
        <v>82</v>
      </c>
      <c r="N16" s="45">
        <v>15</v>
      </c>
      <c r="O16" s="45"/>
      <c r="P16" s="51">
        <v>3</v>
      </c>
      <c r="Q16" s="57">
        <f>F16+G16+H16+I16+J16+K16+L16+N16+O16+P16</f>
        <v>100</v>
      </c>
      <c r="R16" s="107"/>
      <c r="S16" s="108"/>
      <c r="T16" s="3"/>
      <c r="U16" s="3"/>
      <c r="AD16" s="3" t="s">
        <v>111</v>
      </c>
      <c r="AE16" s="3" t="s">
        <v>106</v>
      </c>
      <c r="AF16" s="3" t="s">
        <v>102</v>
      </c>
      <c r="AG16" s="3" t="s">
        <v>103</v>
      </c>
      <c r="AH16" s="3" t="s">
        <v>104</v>
      </c>
      <c r="AI16" s="3" t="s">
        <v>84</v>
      </c>
      <c r="AW16"/>
      <c r="AX16"/>
      <c r="BJ16"/>
      <c r="BK16"/>
    </row>
    <row r="17" spans="1:63" x14ac:dyDescent="0.25">
      <c r="A17"/>
      <c r="B17" s="91" t="s">
        <v>180</v>
      </c>
      <c r="C17" s="109" t="s">
        <v>172</v>
      </c>
      <c r="D17" s="24"/>
      <c r="E17" s="110" t="s">
        <v>9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0"/>
      <c r="L17" s="11"/>
      <c r="M17" s="27">
        <f xml:space="preserve"> ((($F$16/100)*F17)+(($G$16/100)*G17)+(($H$16/100)*H17)+(($I$16/100)*I17)+(($J$16/100)*J17)+(($K$16/100)*K17)+($L$16/100)*L17)/($M$16/100)</f>
        <v>100</v>
      </c>
      <c r="N17" s="10">
        <v>100</v>
      </c>
      <c r="O17" s="10"/>
      <c r="P17" s="41">
        <v>100</v>
      </c>
      <c r="Q17" s="1">
        <f>( (($F$16/100)*F17)+(($G$16/100)*G17)+(($H$16/100)*H17)+(($I$16/100)*I17)+(($J$16/100)*J17)+ (($K$16/100)*K17)+(($L$16/100)*L17)+(($N$16/100)*N17)+(($O$16/100)*O17)+(($P$16/100)*P17))/($Q$16/100)</f>
        <v>100</v>
      </c>
      <c r="R17" s="67"/>
      <c r="S17" s="58" t="e">
        <f>IF($J$6="SG",AJ40,NA())</f>
        <v>#N/A</v>
      </c>
      <c r="T17" s="3">
        <f>37.5^0.45</f>
        <v>5.1087431744234335</v>
      </c>
      <c r="U17" s="4">
        <f t="shared" ref="U17:U29" si="0">IF($N$6="No. 4",AE17,IF($N$6="3/8",AF17,IF($N$6="1/2",AG17,IF($N$6="3/4",AH17,IF($N$6="1",AI17,"")))))</f>
        <v>100</v>
      </c>
      <c r="V17" s="4">
        <v>90</v>
      </c>
      <c r="W17" s="4">
        <v>100</v>
      </c>
      <c r="Z17" s="4" t="s">
        <v>92</v>
      </c>
      <c r="AD17" s="70" t="s">
        <v>112</v>
      </c>
      <c r="AE17" s="3">
        <v>100</v>
      </c>
      <c r="AF17" s="3">
        <v>100</v>
      </c>
      <c r="AG17" s="3">
        <v>100</v>
      </c>
      <c r="AH17" s="3">
        <v>100</v>
      </c>
      <c r="AI17" s="3">
        <v>100</v>
      </c>
      <c r="AK17" s="75" t="s">
        <v>112</v>
      </c>
      <c r="AW17"/>
      <c r="AX17"/>
      <c r="BJ17"/>
      <c r="BK17"/>
    </row>
    <row r="18" spans="1:63" x14ac:dyDescent="0.25">
      <c r="A18"/>
      <c r="B18" s="91" t="s">
        <v>180</v>
      </c>
      <c r="C18" s="109">
        <v>1</v>
      </c>
      <c r="D18" s="24"/>
      <c r="E18" s="110" t="s">
        <v>10</v>
      </c>
      <c r="F18" s="10">
        <v>100</v>
      </c>
      <c r="G18" s="10">
        <v>100</v>
      </c>
      <c r="H18" s="10">
        <v>100</v>
      </c>
      <c r="I18" s="10">
        <v>100</v>
      </c>
      <c r="J18" s="10">
        <v>100</v>
      </c>
      <c r="K18" s="10"/>
      <c r="L18" s="11"/>
      <c r="M18" s="27">
        <f t="shared" ref="M18:M28" si="1" xml:space="preserve"> ((($F$16/100)*F18)+(($G$16/100)*G18)+(($H$16/100)*H18)+(($I$16/100)*I18)+(($J$16/100)*J18)+(($K$16/100)*K18)+($L$16/100)*L18)/($M$16/100)</f>
        <v>100</v>
      </c>
      <c r="N18" s="10">
        <v>100</v>
      </c>
      <c r="O18" s="10"/>
      <c r="P18" s="41">
        <v>100</v>
      </c>
      <c r="Q18" s="1">
        <f t="shared" ref="Q18:Q28" si="2">( (($F$16/100)*F18)+(($G$16/100)*G18)+(($H$16/100)*H18)+(($I$16/100)*I18)+(($J$16/100)*J18)+ (($K$16/100)*K18)+(($L$16/100)*L18)+(($N$16/100)*N18)+(($O$16/100)*O18)+(($P$16/100)*P18))/($Q$16/100)</f>
        <v>100</v>
      </c>
      <c r="R18" s="68" t="e">
        <f>IF($J$6="SG",AI42,NA())</f>
        <v>#N/A</v>
      </c>
      <c r="S18" s="58" t="e">
        <f>IF($J$6="SG",AJ42,IF($J$6="S",AL42,IF($J$6="SMA 3/4",AP42,NA())))</f>
        <v>#N/A</v>
      </c>
      <c r="T18" s="3">
        <f>25^0.45</f>
        <v>4.2566996126039234</v>
      </c>
      <c r="U18" s="4">
        <f t="shared" si="0"/>
        <v>100</v>
      </c>
      <c r="V18" s="4">
        <v>19</v>
      </c>
      <c r="W18" s="4">
        <v>45</v>
      </c>
      <c r="Y18" s="4" t="s">
        <v>91</v>
      </c>
      <c r="Z18" s="4">
        <v>50</v>
      </c>
      <c r="AA18" s="4" t="s">
        <v>2</v>
      </c>
      <c r="AB18" s="4" t="s">
        <v>94</v>
      </c>
      <c r="AC18" s="32" t="s">
        <v>101</v>
      </c>
      <c r="AD18" s="70" t="s">
        <v>113</v>
      </c>
      <c r="AE18" s="3">
        <v>100</v>
      </c>
      <c r="AF18" s="3">
        <v>100</v>
      </c>
      <c r="AG18" s="3">
        <v>100</v>
      </c>
      <c r="AH18" s="3">
        <v>100</v>
      </c>
      <c r="AI18" s="3">
        <f>25^0.45</f>
        <v>4.2566996126039234</v>
      </c>
      <c r="AK18" s="4">
        <v>1</v>
      </c>
      <c r="AW18"/>
      <c r="AX18"/>
      <c r="BJ18"/>
      <c r="BK18"/>
    </row>
    <row r="19" spans="1:63" x14ac:dyDescent="0.25">
      <c r="A19"/>
      <c r="B19" s="91" t="s">
        <v>180</v>
      </c>
      <c r="C19" s="109" t="s">
        <v>110</v>
      </c>
      <c r="D19" s="24"/>
      <c r="E19" s="110" t="s">
        <v>11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0"/>
      <c r="L19" s="11"/>
      <c r="M19" s="27">
        <f t="shared" si="1"/>
        <v>100</v>
      </c>
      <c r="N19" s="10">
        <v>100</v>
      </c>
      <c r="O19" s="10"/>
      <c r="P19" s="41">
        <v>100</v>
      </c>
      <c r="Q19" s="1">
        <f t="shared" si="2"/>
        <v>100</v>
      </c>
      <c r="R19" s="68" t="e">
        <f>IF($J$6="S",AK43,IF($J$6="SMA 3/4",AO43,NA()))</f>
        <v>#N/A</v>
      </c>
      <c r="S19" s="58" t="e">
        <f>IF($J$6="S",AL43,IF($J$6="SX",AN43,IF($J$6="SMA 3/4",AP43,IF($J$6="SMA 1/2",AR43,NA()))))</f>
        <v>#N/A</v>
      </c>
      <c r="T19" s="3">
        <f>19^0.45</f>
        <v>3.7621761023862978</v>
      </c>
      <c r="U19" s="4">
        <f t="shared" si="0"/>
        <v>100</v>
      </c>
      <c r="V19" s="4">
        <v>23</v>
      </c>
      <c r="W19" s="4">
        <v>49</v>
      </c>
      <c r="Y19" s="4" t="s">
        <v>54</v>
      </c>
      <c r="Z19" s="4">
        <v>75</v>
      </c>
      <c r="AA19" s="4">
        <v>1</v>
      </c>
      <c r="AB19" s="32" t="s">
        <v>157</v>
      </c>
      <c r="AC19" s="32" t="s">
        <v>105</v>
      </c>
      <c r="AD19" s="70" t="s">
        <v>110</v>
      </c>
      <c r="AE19" s="3">
        <v>100</v>
      </c>
      <c r="AF19" s="3">
        <v>100</v>
      </c>
      <c r="AG19" s="3">
        <v>100</v>
      </c>
      <c r="AH19" s="3">
        <f>T19</f>
        <v>3.7621761023862978</v>
      </c>
      <c r="AI19" s="3">
        <f>T19</f>
        <v>3.7621761023862978</v>
      </c>
      <c r="AK19" s="75" t="s">
        <v>110</v>
      </c>
      <c r="AW19"/>
      <c r="AX19"/>
      <c r="BJ19"/>
      <c r="BK19"/>
    </row>
    <row r="20" spans="1:63" x14ac:dyDescent="0.25">
      <c r="A20"/>
      <c r="B20" s="91" t="s">
        <v>180</v>
      </c>
      <c r="C20" s="109" t="s">
        <v>109</v>
      </c>
      <c r="D20" s="24"/>
      <c r="E20" s="110" t="s">
        <v>12</v>
      </c>
      <c r="F20" s="10">
        <v>86</v>
      </c>
      <c r="G20" s="10">
        <v>100</v>
      </c>
      <c r="H20" s="10">
        <v>100</v>
      </c>
      <c r="I20" s="10">
        <v>100</v>
      </c>
      <c r="J20" s="10">
        <v>100</v>
      </c>
      <c r="K20" s="10"/>
      <c r="L20" s="11"/>
      <c r="M20" s="27">
        <f t="shared" si="1"/>
        <v>94.536585365853654</v>
      </c>
      <c r="N20" s="10">
        <v>100</v>
      </c>
      <c r="O20" s="10"/>
      <c r="P20" s="41">
        <v>100</v>
      </c>
      <c r="Q20" s="1">
        <f t="shared" si="2"/>
        <v>95.52</v>
      </c>
      <c r="R20" s="68" t="e">
        <f>IF($J$6="SX",AM44,IF($J$6="SMA 3/4",AO44,IF($J$6="SMA 1/2",AQ44,NA())))</f>
        <v>#N/A</v>
      </c>
      <c r="S20" s="58">
        <f>IF($J$6="SMA 3/8",AT44,IF($J$6="SX",AN44,IF($J$6="SMA 3/4",AP44,IF($J$6="SMA 1/2",AR44,IF($J$6="SMA No. 4",AV44,IF($J$6="ST",AX44,NA()))))))</f>
        <v>100</v>
      </c>
      <c r="T20" s="3">
        <f>12.5^0.45</f>
        <v>3.116086507375345</v>
      </c>
      <c r="U20" s="4">
        <f t="shared" si="0"/>
        <v>3.116086507375345</v>
      </c>
      <c r="V20" s="4">
        <v>28</v>
      </c>
      <c r="W20" s="4">
        <v>58</v>
      </c>
      <c r="Y20" s="4" t="s">
        <v>82</v>
      </c>
      <c r="Z20" s="4">
        <v>100</v>
      </c>
      <c r="AA20" s="4">
        <v>2</v>
      </c>
      <c r="AB20" s="4" t="s">
        <v>95</v>
      </c>
      <c r="AC20" s="34" t="s">
        <v>108</v>
      </c>
      <c r="AD20" s="70" t="s">
        <v>109</v>
      </c>
      <c r="AE20" s="3">
        <v>100</v>
      </c>
      <c r="AF20" s="3">
        <v>100</v>
      </c>
      <c r="AG20" s="3">
        <f>12.5^0.45</f>
        <v>3.116086507375345</v>
      </c>
      <c r="AH20" s="3">
        <f>12.5^0.45</f>
        <v>3.116086507375345</v>
      </c>
      <c r="AI20" s="3">
        <f>12.5^0.45</f>
        <v>3.116086507375345</v>
      </c>
      <c r="AK20" s="75" t="s">
        <v>109</v>
      </c>
      <c r="AW20"/>
      <c r="AX20"/>
      <c r="BJ20"/>
      <c r="BK20"/>
    </row>
    <row r="21" spans="1:63" x14ac:dyDescent="0.25">
      <c r="A21"/>
      <c r="B21" s="91" t="s">
        <v>180</v>
      </c>
      <c r="C21" s="109" t="s">
        <v>108</v>
      </c>
      <c r="D21" s="24"/>
      <c r="E21" s="110" t="s">
        <v>13</v>
      </c>
      <c r="F21" s="10">
        <v>52</v>
      </c>
      <c r="G21" s="10">
        <v>100</v>
      </c>
      <c r="H21" s="10">
        <v>100</v>
      </c>
      <c r="I21" s="10">
        <v>100</v>
      </c>
      <c r="J21" s="10">
        <v>100</v>
      </c>
      <c r="K21" s="10"/>
      <c r="L21" s="11"/>
      <c r="M21" s="27">
        <f t="shared" si="1"/>
        <v>81.268292682926841</v>
      </c>
      <c r="N21" s="10">
        <v>98</v>
      </c>
      <c r="O21" s="10"/>
      <c r="P21" s="41">
        <v>100</v>
      </c>
      <c r="Q21" s="1">
        <f t="shared" si="2"/>
        <v>84.34</v>
      </c>
      <c r="R21" s="68">
        <f>IF($J$6="SMA 3/8",AS45,IF($J$6="SMA 3/4",AO45,IF($J$6="SMA 1/2",AQ45,IF($J$6="ST",AW45,NA()))))</f>
        <v>90</v>
      </c>
      <c r="S21" s="58">
        <f>IF($J$6="SMA 3/8",AT45,IF($J$6="SMA 3/4",AP45,IF($J$6="SMA 1/2",AR45,IF($J$6="SMA No. 4",AV45,IF($J$6="ST",AX45,IF($J$6="SF",BK45,NA()))))))</f>
        <v>100</v>
      </c>
      <c r="T21" s="3">
        <f>9.5^0.45</f>
        <v>2.754074108566122</v>
      </c>
      <c r="U21" s="4">
        <f t="shared" si="0"/>
        <v>2.754074108566122</v>
      </c>
      <c r="V21" s="4">
        <v>1</v>
      </c>
      <c r="W21" s="4">
        <v>7</v>
      </c>
      <c r="Y21" s="4" t="s">
        <v>83</v>
      </c>
      <c r="Z21" s="4">
        <v>125</v>
      </c>
      <c r="AA21" s="4">
        <v>3</v>
      </c>
      <c r="AB21" s="4" t="s">
        <v>96</v>
      </c>
      <c r="AC21" s="34" t="s">
        <v>109</v>
      </c>
      <c r="AD21" s="70" t="s">
        <v>108</v>
      </c>
      <c r="AE21" s="3">
        <v>100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I21" s="3">
        <f>9.5^0.45</f>
        <v>2.754074108566122</v>
      </c>
      <c r="AK21" s="75" t="s">
        <v>108</v>
      </c>
      <c r="AW21"/>
      <c r="AX21"/>
      <c r="BJ21"/>
      <c r="BK21"/>
    </row>
    <row r="22" spans="1:63" x14ac:dyDescent="0.25">
      <c r="A22"/>
      <c r="B22" s="91" t="s">
        <v>180</v>
      </c>
      <c r="C22" s="109" t="s">
        <v>173</v>
      </c>
      <c r="D22" s="24"/>
      <c r="E22" s="110" t="s">
        <v>14</v>
      </c>
      <c r="F22" s="10">
        <v>10</v>
      </c>
      <c r="G22" s="10">
        <v>90</v>
      </c>
      <c r="H22" s="10">
        <v>83</v>
      </c>
      <c r="I22" s="10">
        <v>100</v>
      </c>
      <c r="J22" s="10">
        <v>100</v>
      </c>
      <c r="K22" s="10"/>
      <c r="L22" s="11"/>
      <c r="M22" s="27">
        <f t="shared" si="1"/>
        <v>60.487804878048784</v>
      </c>
      <c r="N22" s="10">
        <v>82</v>
      </c>
      <c r="O22" s="10"/>
      <c r="P22" s="41">
        <v>95</v>
      </c>
      <c r="Q22" s="1">
        <f t="shared" si="2"/>
        <v>64.75</v>
      </c>
      <c r="R22" s="68" t="e">
        <f>IF($J$6="SMA 3/8",AS46,IF($J$6="SMA 3/4",AO46,IF($J$6="SMA 1/2",AQ46,IF($J$6="SMA No. 4",AU46,IF($J$6="SF",BJ46,NA())))))</f>
        <v>#N/A</v>
      </c>
      <c r="S22" s="58" t="e">
        <f>IF($J$6="SMA 3/8",AT46,IF($J$6="SMA 3/4",AP46,IF($J$6="SMA 1/2",AR46,IF($J$6="SMA No. 4",AV46,IF($J$6="SF",BK46,NA())))))</f>
        <v>#N/A</v>
      </c>
      <c r="T22" s="3">
        <f>4.75^0.45</f>
        <v>2.0161002539629291</v>
      </c>
      <c r="U22" s="4">
        <f t="shared" si="0"/>
        <v>2.0161002539629291</v>
      </c>
      <c r="V22" s="4">
        <v>2</v>
      </c>
      <c r="W22" s="4">
        <v>8</v>
      </c>
      <c r="Y22" s="32" t="s">
        <v>128</v>
      </c>
      <c r="Z22" s="32" t="s">
        <v>146</v>
      </c>
      <c r="AA22" s="4">
        <v>4</v>
      </c>
      <c r="AB22" s="4" t="s">
        <v>97</v>
      </c>
      <c r="AC22" s="35" t="s">
        <v>110</v>
      </c>
      <c r="AD22" s="70" t="s">
        <v>105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I22" s="3">
        <f>4.75^0.45</f>
        <v>2.0161002539629291</v>
      </c>
      <c r="AK22" s="4" t="s">
        <v>173</v>
      </c>
      <c r="AW22"/>
      <c r="AX22"/>
      <c r="BJ22"/>
      <c r="BK22"/>
    </row>
    <row r="23" spans="1:63" x14ac:dyDescent="0.25">
      <c r="A23"/>
      <c r="B23" s="91" t="s">
        <v>180</v>
      </c>
      <c r="C23" s="109" t="s">
        <v>174</v>
      </c>
      <c r="D23" s="24"/>
      <c r="E23" s="110" t="s">
        <v>15</v>
      </c>
      <c r="F23" s="10">
        <v>7</v>
      </c>
      <c r="G23" s="10">
        <v>69</v>
      </c>
      <c r="H23" s="10">
        <v>28</v>
      </c>
      <c r="I23" s="10">
        <v>95</v>
      </c>
      <c r="J23" s="10">
        <v>100</v>
      </c>
      <c r="K23" s="10"/>
      <c r="L23" s="11"/>
      <c r="M23" s="27">
        <f t="shared" si="1"/>
        <v>46.524390243902438</v>
      </c>
      <c r="N23" s="10">
        <v>67</v>
      </c>
      <c r="O23" s="10"/>
      <c r="P23" s="41">
        <v>93</v>
      </c>
      <c r="Q23" s="1">
        <f t="shared" si="2"/>
        <v>50.989999999999995</v>
      </c>
      <c r="R23" s="68">
        <f>IF($J$6="SMA 3/8",AS47,IF($J$6="SMA 3/4",AO47,IF($J$6="SMA 1/2",AQ47,IF($J$6="SMA No. 4",AU47,IF($J$6="SG",AI47,IF($J$6="S",AK47,IF($J$6="SX",AM47,IF($J$6="ST",AW47,NA()))))))))</f>
        <v>28</v>
      </c>
      <c r="S23" s="58">
        <f>IF($J$6="SMA 3/8",AT47,IF($J$6="SMA 3/4",AP47,IF($J$6="SMA 1/2",AR47,IF($J$6="SMA No. 4",AV47,IF($J$6="SG",AJ47,IF($J$6="S",AL47,IF($J$6="SX",AN47,IF($J$6="ST",AX47,NA()))))))))</f>
        <v>58</v>
      </c>
      <c r="T23" s="3">
        <f>2.36^0.45</f>
        <v>1.4716698795820382</v>
      </c>
      <c r="U23" s="4">
        <f t="shared" si="0"/>
        <v>1.4716698795820382</v>
      </c>
      <c r="W23" s="4">
        <v>10</v>
      </c>
      <c r="Y23" s="32" t="s">
        <v>129</v>
      </c>
      <c r="AA23" s="4">
        <v>5</v>
      </c>
      <c r="AB23" s="4" t="s">
        <v>98</v>
      </c>
      <c r="AC23" s="35" t="s">
        <v>113</v>
      </c>
      <c r="AD23" s="70" t="s">
        <v>114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I23" s="3">
        <f>2.36^0.45</f>
        <v>1.4716698795820382</v>
      </c>
      <c r="AK23" s="4" t="s">
        <v>174</v>
      </c>
      <c r="AW23"/>
      <c r="AX23"/>
      <c r="BJ23"/>
      <c r="BK23"/>
    </row>
    <row r="24" spans="1:63" x14ac:dyDescent="0.25">
      <c r="A24"/>
      <c r="B24" s="91" t="s">
        <v>180</v>
      </c>
      <c r="C24" s="109" t="s">
        <v>175</v>
      </c>
      <c r="D24" s="24"/>
      <c r="E24" s="110" t="s">
        <v>16</v>
      </c>
      <c r="F24" s="10">
        <v>6</v>
      </c>
      <c r="G24" s="10">
        <v>56</v>
      </c>
      <c r="H24" s="10">
        <v>4</v>
      </c>
      <c r="I24" s="10">
        <v>67</v>
      </c>
      <c r="J24" s="10">
        <v>100</v>
      </c>
      <c r="K24" s="10"/>
      <c r="L24" s="11"/>
      <c r="M24" s="27">
        <f t="shared" si="1"/>
        <v>33.365853658536587</v>
      </c>
      <c r="N24" s="10">
        <v>52</v>
      </c>
      <c r="O24" s="10"/>
      <c r="P24" s="41">
        <v>72</v>
      </c>
      <c r="Q24" s="1">
        <f t="shared" si="2"/>
        <v>37.319999999999993</v>
      </c>
      <c r="R24" s="68" t="e">
        <f>IF($J$6="SMA No. 4",AU48,IF($J$6="SF",BJ48,NA()))</f>
        <v>#N/A</v>
      </c>
      <c r="S24" s="58" t="e">
        <f>IF($J$6="SMA No. 4",AV48,IF($J$6="SF",BK48,NA()))</f>
        <v>#N/A</v>
      </c>
      <c r="T24" s="3">
        <f>1.18^0.45</f>
        <v>1.0773254099250416</v>
      </c>
      <c r="U24" s="4">
        <f t="shared" si="0"/>
        <v>1.0773254099250416</v>
      </c>
      <c r="Y24" s="32" t="s">
        <v>130</v>
      </c>
      <c r="AA24" s="4">
        <v>6</v>
      </c>
      <c r="AB24" s="4" t="s">
        <v>99</v>
      </c>
      <c r="AD24" s="70" t="s">
        <v>115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I24" s="3">
        <f>1.18^0.45</f>
        <v>1.0773254099250416</v>
      </c>
      <c r="AK24" s="4" t="s">
        <v>175</v>
      </c>
      <c r="AW24"/>
      <c r="AX24"/>
      <c r="BJ24"/>
      <c r="BK24"/>
    </row>
    <row r="25" spans="1:63" x14ac:dyDescent="0.25">
      <c r="A25"/>
      <c r="B25" s="91" t="s">
        <v>180</v>
      </c>
      <c r="C25" s="109" t="s">
        <v>176</v>
      </c>
      <c r="D25" s="24"/>
      <c r="E25" s="110" t="s">
        <v>17</v>
      </c>
      <c r="F25" s="10">
        <v>6</v>
      </c>
      <c r="G25" s="10">
        <v>47</v>
      </c>
      <c r="H25" s="10">
        <v>1</v>
      </c>
      <c r="I25" s="10">
        <v>36</v>
      </c>
      <c r="J25" s="10">
        <v>100</v>
      </c>
      <c r="K25" s="10"/>
      <c r="L25" s="11"/>
      <c r="M25" s="27">
        <f t="shared" si="1"/>
        <v>23.353658536585364</v>
      </c>
      <c r="N25" s="10">
        <v>38</v>
      </c>
      <c r="O25" s="10"/>
      <c r="P25" s="41">
        <v>53</v>
      </c>
      <c r="Q25" s="1">
        <f t="shared" si="2"/>
        <v>26.439999999999998</v>
      </c>
      <c r="R25" s="68" t="e">
        <f>IF($J$6="SMA 3/8",AS49,IF($J$6="SMA 3/4",AO49,IF($J$6="SMA 1/2",AQ49,IF($J$6="SMA No. 4",AU49,NA()))))</f>
        <v>#N/A</v>
      </c>
      <c r="S25" s="58" t="e">
        <f>IF($J$6="SMA 3/8",AT49,IF($J$6="SMA 3/4",AP49,IF($J$6="SMA 1/2",AR49,IF($J$6="SMA No. 4",AV49,NA()))))</f>
        <v>#N/A</v>
      </c>
      <c r="T25" s="3">
        <f>0.6^0.45</f>
        <v>0.79463568224020453</v>
      </c>
      <c r="U25" s="4">
        <f t="shared" si="0"/>
        <v>0.79463568224020453</v>
      </c>
      <c r="Y25" s="32" t="s">
        <v>132</v>
      </c>
      <c r="AA25" s="32" t="s">
        <v>209</v>
      </c>
      <c r="AD25" s="70" t="s">
        <v>119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I25" s="3">
        <f>0.6^0.45</f>
        <v>0.79463568224020453</v>
      </c>
      <c r="AK25" s="4" t="s">
        <v>176</v>
      </c>
      <c r="AW25"/>
      <c r="AX25"/>
      <c r="BJ25"/>
      <c r="BK25"/>
    </row>
    <row r="26" spans="1:63" x14ac:dyDescent="0.25">
      <c r="A26"/>
      <c r="B26" s="91" t="s">
        <v>180</v>
      </c>
      <c r="C26" s="109" t="s">
        <v>177</v>
      </c>
      <c r="D26" s="24"/>
      <c r="E26" s="110" t="s">
        <v>18</v>
      </c>
      <c r="F26" s="10">
        <v>5</v>
      </c>
      <c r="G26" s="10">
        <v>36</v>
      </c>
      <c r="H26" s="10">
        <v>1</v>
      </c>
      <c r="I26" s="10">
        <v>16</v>
      </c>
      <c r="J26" s="10">
        <v>100</v>
      </c>
      <c r="K26" s="10"/>
      <c r="L26" s="11"/>
      <c r="M26" s="27">
        <f t="shared" si="1"/>
        <v>15.536585365853657</v>
      </c>
      <c r="N26" s="10">
        <v>26</v>
      </c>
      <c r="O26" s="10"/>
      <c r="P26" s="41">
        <v>45</v>
      </c>
      <c r="Q26" s="1">
        <f t="shared" si="2"/>
        <v>17.989999999999998</v>
      </c>
      <c r="R26" s="68" t="e">
        <f>IF($J$6="SMA 3/8",AS50,IF($J$6="SMA No. 4",AU50,NA()))</f>
        <v>#N/A</v>
      </c>
      <c r="S26" s="58" t="e">
        <f>IF($J$6="SMA 3/8",AT50,IF($J$6="SMA No. 4",AV50,NA()))</f>
        <v>#N/A</v>
      </c>
      <c r="T26" s="3">
        <f>0.3^0.45</f>
        <v>0.58170736792793831</v>
      </c>
      <c r="U26" s="4">
        <f t="shared" si="0"/>
        <v>0.58170736792793831</v>
      </c>
      <c r="Y26" s="32" t="s">
        <v>243</v>
      </c>
      <c r="AD26" s="70" t="s">
        <v>116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I26" s="3">
        <f>0.3^0.45</f>
        <v>0.58170736792793831</v>
      </c>
      <c r="AK26" s="4" t="s">
        <v>177</v>
      </c>
      <c r="AW26"/>
      <c r="AX26"/>
      <c r="BJ26"/>
      <c r="BK26"/>
    </row>
    <row r="27" spans="1:63" x14ac:dyDescent="0.25">
      <c r="A27"/>
      <c r="B27" s="91" t="s">
        <v>180</v>
      </c>
      <c r="C27" s="109" t="s">
        <v>178</v>
      </c>
      <c r="D27" s="24"/>
      <c r="E27" s="110" t="s">
        <v>19</v>
      </c>
      <c r="F27" s="10">
        <v>4</v>
      </c>
      <c r="G27" s="10">
        <v>23</v>
      </c>
      <c r="H27" s="10">
        <v>1</v>
      </c>
      <c r="I27" s="10">
        <v>5</v>
      </c>
      <c r="J27" s="10">
        <v>98</v>
      </c>
      <c r="K27" s="10"/>
      <c r="L27" s="11"/>
      <c r="M27" s="27">
        <f t="shared" si="1"/>
        <v>9.4268292682926838</v>
      </c>
      <c r="N27" s="10">
        <v>16</v>
      </c>
      <c r="O27" s="10"/>
      <c r="P27" s="41">
        <v>33</v>
      </c>
      <c r="Q27" s="1">
        <f t="shared" si="2"/>
        <v>11.120000000000001</v>
      </c>
      <c r="R27" s="68"/>
      <c r="S27" s="58"/>
      <c r="T27" s="3">
        <f>0.15^0.45</f>
        <v>0.42583471830473674</v>
      </c>
      <c r="U27" s="4">
        <f t="shared" si="0"/>
        <v>0.42583471830473674</v>
      </c>
      <c r="Y27" s="32" t="s">
        <v>244</v>
      </c>
      <c r="AD27" s="70" t="s">
        <v>117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I27" s="3">
        <f>0.15^0.45</f>
        <v>0.42583471830473674</v>
      </c>
      <c r="AK27" s="4" t="s">
        <v>178</v>
      </c>
      <c r="AW27"/>
      <c r="AX27"/>
      <c r="BJ27"/>
      <c r="BK27"/>
    </row>
    <row r="28" spans="1:63" ht="13.8" thickBot="1" x14ac:dyDescent="0.3">
      <c r="A28"/>
      <c r="B28" s="98" t="s">
        <v>180</v>
      </c>
      <c r="C28" s="111" t="s">
        <v>179</v>
      </c>
      <c r="D28" s="44"/>
      <c r="E28" s="112" t="s">
        <v>20</v>
      </c>
      <c r="F28" s="12">
        <v>2.8</v>
      </c>
      <c r="G28" s="12">
        <v>12</v>
      </c>
      <c r="H28" s="12">
        <v>0.2</v>
      </c>
      <c r="I28" s="12">
        <v>1.8</v>
      </c>
      <c r="J28" s="12">
        <v>97</v>
      </c>
      <c r="K28" s="12"/>
      <c r="L28" s="13"/>
      <c r="M28" s="49">
        <f t="shared" si="1"/>
        <v>5.5195121951219512</v>
      </c>
      <c r="N28" s="12">
        <v>9.6999999999999993</v>
      </c>
      <c r="O28" s="12"/>
      <c r="P28" s="42">
        <v>24.8</v>
      </c>
      <c r="Q28" s="2">
        <f t="shared" si="2"/>
        <v>6.7249999999999996</v>
      </c>
      <c r="R28" s="69">
        <f>IF($J$6="SMA 3/8",AS52,IF($J$6="SMA 3/4",AO52,IF($J$6="SMA 1/2",AQ52,IF($J$6="SMA No. 4",AU52,IF($J$6="SG",AI52,IF($J$6="S",AK52,IF($J$6="SX",AM52,IF($J$6="ST",AW52,IF($J$6="SF",BJ52,NA())))))))))</f>
        <v>2</v>
      </c>
      <c r="S28" s="59">
        <f>IF($J$6="SMA 3/8",AT52,IF($J$6="SMA 3/4",AP52,IF($J$6="SMA 1/2",AR52,IF($J$6="SMA No. 4",AV52,IF($J$6="SG",AJ52,IF($J$6="S",AL52,IF($J$6="SX",AN52,IF($J$6="ST",AX52,IF($J$6="SF",BK52,NA())))))))))</f>
        <v>10</v>
      </c>
      <c r="T28" s="3">
        <f>0.075^0.45</f>
        <v>0.31172925995349998</v>
      </c>
      <c r="U28" s="4">
        <f t="shared" si="0"/>
        <v>0.31172925995349998</v>
      </c>
      <c r="AD28" s="70" t="s">
        <v>118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I28" s="3">
        <f>0.075^0.45</f>
        <v>0.31172925995349998</v>
      </c>
      <c r="AK28" s="4" t="s">
        <v>179</v>
      </c>
      <c r="AW28"/>
      <c r="AX28"/>
      <c r="BJ28"/>
      <c r="BK28"/>
    </row>
    <row r="29" spans="1:63" x14ac:dyDescent="0.25">
      <c r="A29"/>
      <c r="B29" s="91" t="s">
        <v>71</v>
      </c>
      <c r="C29" s="24"/>
      <c r="D29" s="24"/>
      <c r="E29" s="110"/>
      <c r="F29" s="14" t="s">
        <v>262</v>
      </c>
      <c r="G29" s="14" t="s">
        <v>262</v>
      </c>
      <c r="H29" s="14" t="s">
        <v>262</v>
      </c>
      <c r="I29" s="8"/>
      <c r="J29" s="8" t="s">
        <v>262</v>
      </c>
      <c r="K29" s="8"/>
      <c r="L29" s="8"/>
      <c r="M29" s="61"/>
      <c r="N29" s="8"/>
      <c r="O29" s="8"/>
      <c r="P29" s="43"/>
      <c r="Q29" s="113"/>
      <c r="R29" s="61"/>
      <c r="S29" s="102" t="s">
        <v>32</v>
      </c>
      <c r="T29" s="3">
        <v>0</v>
      </c>
      <c r="U29" s="4">
        <f t="shared" si="0"/>
        <v>0</v>
      </c>
      <c r="AD29" s="3">
        <v>0</v>
      </c>
      <c r="AW29"/>
      <c r="AX29"/>
      <c r="BJ29"/>
      <c r="BK29"/>
    </row>
    <row r="30" spans="1:63" x14ac:dyDescent="0.25">
      <c r="A30"/>
      <c r="B30" s="91" t="s">
        <v>75</v>
      </c>
      <c r="C30" s="24"/>
      <c r="D30" s="24"/>
      <c r="E30" s="24"/>
      <c r="F30" s="15">
        <v>2.766</v>
      </c>
      <c r="G30" s="15">
        <v>2.8079999999999998</v>
      </c>
      <c r="H30" s="15">
        <v>2.613</v>
      </c>
      <c r="I30" s="15">
        <v>2.6080000000000001</v>
      </c>
      <c r="J30" s="15">
        <v>2.38</v>
      </c>
      <c r="K30" s="15"/>
      <c r="L30" s="15"/>
      <c r="M30" s="30"/>
      <c r="N30" s="30">
        <f>IF(N11=$V$11,IF(N31=""," ",(100*$Q$36*N31)/((0.61*N31)+100*$Q$36)),IF(OR(N11=$V$12,N11=$V$13),N31," "))</f>
        <v>2.661421388028423</v>
      </c>
      <c r="O30" s="30" t="str">
        <f t="shared" ref="O30:P30" si="3">IF(O11=$V$11,IF(O31=""," ",(100*$Q$36*O31)/((0.61*O31)+100*$Q$36)),IF(OR(O11=$V$12,O11=$V$13),O31," "))</f>
        <v xml:space="preserve"> </v>
      </c>
      <c r="P30" s="30">
        <f t="shared" si="3"/>
        <v>2.754</v>
      </c>
      <c r="Q30" s="30">
        <f>BI30</f>
        <v>2.7044025504910798</v>
      </c>
      <c r="R30" s="110"/>
      <c r="S30" s="90"/>
      <c r="T30" s="3"/>
      <c r="U30" s="3"/>
      <c r="W30" s="4">
        <v>0</v>
      </c>
      <c r="AW30"/>
      <c r="AX30"/>
      <c r="AY30" s="52">
        <f>IF(F30&gt;1,F16/F30," ")</f>
        <v>11.569052783803325</v>
      </c>
      <c r="AZ30" s="52">
        <f>IF(G30&gt;1,G16/G30," ")</f>
        <v>6.7663817663817669</v>
      </c>
      <c r="BA30" s="52">
        <f>IF(H30&gt;1,H16/H30," ")</f>
        <v>3.8270187523918868</v>
      </c>
      <c r="BB30" s="52">
        <f>IF(I30&gt;1,I16/I30," ")</f>
        <v>7.6687116564417179</v>
      </c>
      <c r="BC30" s="52">
        <f>IF(J30&gt;1,J16/J30," ")</f>
        <v>0.42016806722689076</v>
      </c>
      <c r="BD30" s="52" t="str">
        <f t="shared" ref="BD30" si="4">IF(L30&gt;1,L16/L30," ")</f>
        <v xml:space="preserve"> </v>
      </c>
      <c r="BE30"/>
      <c r="BF30" s="52">
        <f>IF(N30&lt;&gt;" ",N16/N30,"")</f>
        <v>5.6360860656913774</v>
      </c>
      <c r="BG30" s="52" t="str">
        <f>IF(O30&lt;&gt;" ",O16/O30,"")</f>
        <v/>
      </c>
      <c r="BH30" s="52">
        <f>IF(P30&lt;&gt;" ",P16/P30,"")</f>
        <v>1.0893246187363834</v>
      </c>
      <c r="BI30" s="137">
        <f>Q16/SUM(AY30:BH30)</f>
        <v>2.7044025504910798</v>
      </c>
      <c r="BJ30"/>
      <c r="BK30"/>
    </row>
    <row r="31" spans="1:63" x14ac:dyDescent="0.25">
      <c r="A31"/>
      <c r="B31" s="91" t="s">
        <v>77</v>
      </c>
      <c r="C31" s="24"/>
      <c r="D31" s="24"/>
      <c r="E31" s="24"/>
      <c r="F31" s="15">
        <v>2.8159999999999998</v>
      </c>
      <c r="G31" s="15">
        <v>2.8610000000000002</v>
      </c>
      <c r="H31" s="15">
        <v>2.69</v>
      </c>
      <c r="I31" s="15">
        <v>2.64</v>
      </c>
      <c r="J31" s="15">
        <v>2.38</v>
      </c>
      <c r="K31" s="15"/>
      <c r="L31" s="15"/>
      <c r="M31" s="30"/>
      <c r="N31" s="15">
        <v>2.7040000000000002</v>
      </c>
      <c r="O31" s="15"/>
      <c r="P31" s="39">
        <v>2.754</v>
      </c>
      <c r="Q31" s="15">
        <v>2.7509999999999999</v>
      </c>
      <c r="R31" s="110"/>
      <c r="S31" s="90"/>
      <c r="T31" s="3"/>
      <c r="U31" s="3"/>
      <c r="AW31"/>
      <c r="AX31"/>
      <c r="BJ31"/>
      <c r="BK31"/>
    </row>
    <row r="32" spans="1:63" x14ac:dyDescent="0.25">
      <c r="A32"/>
      <c r="B32" s="91" t="s">
        <v>80</v>
      </c>
      <c r="C32" s="24"/>
      <c r="D32" s="24"/>
      <c r="E32" s="24"/>
      <c r="F32" s="16">
        <v>6.0000000000000001E-3</v>
      </c>
      <c r="G32" s="16">
        <v>7.0000000000000001E-3</v>
      </c>
      <c r="H32" s="16">
        <v>1.0999999999999999E-2</v>
      </c>
      <c r="I32" s="16">
        <v>5.0000000000000001E-3</v>
      </c>
      <c r="J32" s="16"/>
      <c r="K32" s="16"/>
      <c r="L32" s="16"/>
      <c r="M32" s="114"/>
      <c r="N32" s="16"/>
      <c r="O32" s="16"/>
      <c r="P32" s="39"/>
      <c r="Q32" s="15">
        <v>0.7</v>
      </c>
      <c r="R32" s="110"/>
      <c r="S32" s="90"/>
      <c r="T32" s="3"/>
      <c r="U32" s="3"/>
      <c r="AW32"/>
      <c r="AX32"/>
      <c r="BJ32"/>
      <c r="BK32"/>
    </row>
    <row r="33" spans="1:63" x14ac:dyDescent="0.25">
      <c r="A33"/>
      <c r="B33" s="91" t="s">
        <v>76</v>
      </c>
      <c r="C33" s="24"/>
      <c r="D33" s="24"/>
      <c r="E33" s="24"/>
      <c r="F33" s="24" t="s">
        <v>22</v>
      </c>
      <c r="G33" s="24"/>
      <c r="H33" s="24"/>
      <c r="I33" s="24"/>
      <c r="J33" s="24"/>
      <c r="K33" s="24"/>
      <c r="L33" s="24"/>
      <c r="M33" s="24"/>
      <c r="N33" s="24"/>
      <c r="O33" s="24"/>
      <c r="P33" s="61"/>
      <c r="Q33" s="30">
        <f>(100-$G$49)/((100/$E$49)-($G$49/$Q$36))</f>
        <v>2.7243735341151387</v>
      </c>
      <c r="R33" s="110"/>
      <c r="S33" s="90"/>
      <c r="T33" s="3"/>
      <c r="U33" s="3"/>
      <c r="AW33"/>
      <c r="AX33"/>
      <c r="BJ33"/>
      <c r="BK33"/>
    </row>
    <row r="34" spans="1:63" x14ac:dyDescent="0.25">
      <c r="A34"/>
      <c r="B34" s="91" t="s">
        <v>78</v>
      </c>
      <c r="C34" s="24"/>
      <c r="D34" s="24"/>
      <c r="E34" s="24"/>
      <c r="F34" s="24" t="s">
        <v>22</v>
      </c>
      <c r="G34" s="24"/>
      <c r="H34" s="24"/>
      <c r="I34" s="24"/>
      <c r="J34" s="24"/>
      <c r="K34" s="24"/>
      <c r="L34" s="24"/>
      <c r="M34" s="24"/>
      <c r="N34" s="24"/>
      <c r="O34" s="24"/>
      <c r="P34"/>
      <c r="Q34" s="15">
        <v>2.6869999999999998</v>
      </c>
      <c r="R34" s="110"/>
      <c r="S34" s="90"/>
      <c r="T34" s="3"/>
      <c r="U34" s="3"/>
      <c r="AW34"/>
      <c r="AX34"/>
      <c r="BJ34"/>
      <c r="BK34"/>
    </row>
    <row r="35" spans="1:63" x14ac:dyDescent="0.25">
      <c r="A35"/>
      <c r="B35" s="91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/>
      <c r="Q35" s="15">
        <v>2.7549999999999999</v>
      </c>
      <c r="R35" s="110"/>
      <c r="S35" s="90"/>
      <c r="T35" s="3"/>
      <c r="U35" s="3"/>
      <c r="AW35"/>
      <c r="AX35" s="52"/>
      <c r="BJ35"/>
      <c r="BK35"/>
    </row>
    <row r="36" spans="1:63" x14ac:dyDescent="0.25">
      <c r="A36"/>
      <c r="B36" s="91" t="s">
        <v>86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/>
      <c r="Q36" s="15">
        <v>1.0309999999999999</v>
      </c>
      <c r="R36" s="110"/>
      <c r="S36" s="90"/>
      <c r="T36" s="3"/>
      <c r="U36" s="3"/>
      <c r="AW36"/>
      <c r="AX36" s="24"/>
      <c r="BJ36"/>
      <c r="BK36"/>
    </row>
    <row r="37" spans="1:63" x14ac:dyDescent="0.25">
      <c r="A37"/>
      <c r="B37" s="91" t="s">
        <v>72</v>
      </c>
      <c r="C37" s="24"/>
      <c r="D37" s="24"/>
      <c r="E37" s="24"/>
      <c r="F37" s="24"/>
      <c r="G37"/>
      <c r="H37" s="24"/>
      <c r="I37" s="24"/>
      <c r="J37" s="24"/>
      <c r="K37" s="24"/>
      <c r="L37" s="24"/>
      <c r="M37" s="24"/>
      <c r="N37" s="24"/>
      <c r="O37" s="24"/>
      <c r="P37"/>
      <c r="Q37" s="17">
        <v>1</v>
      </c>
      <c r="R37" s="110"/>
      <c r="S37" s="65" t="s">
        <v>193</v>
      </c>
      <c r="T37" s="3"/>
      <c r="U37" s="3"/>
      <c r="AI37" s="32" t="s">
        <v>127</v>
      </c>
      <c r="AW37"/>
      <c r="AX37" s="24"/>
      <c r="BJ37"/>
      <c r="BK37"/>
    </row>
    <row r="38" spans="1:63" x14ac:dyDescent="0.25">
      <c r="A38"/>
      <c r="B38" s="91" t="s">
        <v>168</v>
      </c>
      <c r="C38" s="24"/>
      <c r="D38" s="24"/>
      <c r="E38" s="24"/>
      <c r="F38" s="24"/>
      <c r="G38"/>
      <c r="H38" s="24" t="s">
        <v>22</v>
      </c>
      <c r="I38" s="24"/>
      <c r="J38" s="24"/>
      <c r="K38" s="24"/>
      <c r="L38" s="24"/>
      <c r="M38" s="24"/>
      <c r="N38" s="24"/>
      <c r="O38" s="24"/>
      <c r="P38"/>
      <c r="Q38" s="8">
        <v>78</v>
      </c>
      <c r="R38" s="115" t="s">
        <v>63</v>
      </c>
      <c r="S38" s="48" t="s">
        <v>59</v>
      </c>
      <c r="T38" s="3"/>
      <c r="U38" s="3"/>
      <c r="AA38" s="32" t="s">
        <v>126</v>
      </c>
      <c r="AB38" s="4" t="s">
        <v>120</v>
      </c>
      <c r="AC38" s="4" t="s">
        <v>121</v>
      </c>
      <c r="AD38" s="4" t="s">
        <v>122</v>
      </c>
      <c r="AE38" s="4" t="s">
        <v>123</v>
      </c>
      <c r="AI38" s="175" t="s">
        <v>83</v>
      </c>
      <c r="AJ38" s="175"/>
      <c r="AK38" s="175" t="s">
        <v>82</v>
      </c>
      <c r="AL38" s="175"/>
      <c r="AM38" s="175" t="s">
        <v>54</v>
      </c>
      <c r="AN38" s="175"/>
      <c r="AO38" s="175" t="s">
        <v>128</v>
      </c>
      <c r="AP38" s="175"/>
      <c r="AQ38" s="175" t="s">
        <v>129</v>
      </c>
      <c r="AR38" s="175"/>
      <c r="AS38" s="175" t="s">
        <v>130</v>
      </c>
      <c r="AT38" s="175"/>
      <c r="AU38" s="175" t="s">
        <v>131</v>
      </c>
      <c r="AV38" s="175"/>
      <c r="AW38" s="176" t="s">
        <v>243</v>
      </c>
      <c r="AX38" s="177"/>
      <c r="BJ38" s="176" t="s">
        <v>244</v>
      </c>
      <c r="BK38" s="177"/>
    </row>
    <row r="39" spans="1:63" x14ac:dyDescent="0.25">
      <c r="A39"/>
      <c r="B39" s="91" t="s">
        <v>73</v>
      </c>
      <c r="C39" s="24"/>
      <c r="D39" s="24"/>
      <c r="E39" s="24"/>
      <c r="F39" s="40">
        <v>29</v>
      </c>
      <c r="G39" s="33"/>
      <c r="H39" s="40"/>
      <c r="I39" s="40"/>
      <c r="J39" s="40"/>
      <c r="K39" s="40"/>
      <c r="L39" s="40"/>
      <c r="M39" s="24"/>
      <c r="N39" s="24"/>
      <c r="O39" s="24"/>
      <c r="P39"/>
      <c r="Q39" s="61"/>
      <c r="R39" s="110"/>
      <c r="S39" s="48" t="str">
        <f>IF($J$6="SMA 3/4","30 max",IF($J$6="SMA 1/2","30 max",IF($J$6="SMA 3/8","30 max",IF($J$6="SMA No. 4","30 max","45 max"))))</f>
        <v>45 max</v>
      </c>
      <c r="T39" s="3"/>
      <c r="U39" s="3"/>
      <c r="V39" s="3" t="s">
        <v>192</v>
      </c>
      <c r="AF39" s="32" t="s">
        <v>210</v>
      </c>
      <c r="AI39" s="32" t="s">
        <v>133</v>
      </c>
      <c r="AJ39" s="32" t="s">
        <v>134</v>
      </c>
      <c r="AK39" s="32" t="s">
        <v>133</v>
      </c>
      <c r="AL39" s="32" t="s">
        <v>134</v>
      </c>
      <c r="AM39" s="32" t="s">
        <v>133</v>
      </c>
      <c r="AN39" s="32" t="s">
        <v>134</v>
      </c>
      <c r="AO39" s="32" t="s">
        <v>133</v>
      </c>
      <c r="AP39" s="32" t="s">
        <v>134</v>
      </c>
      <c r="AQ39" s="32" t="s">
        <v>133</v>
      </c>
      <c r="AR39" s="32" t="s">
        <v>134</v>
      </c>
      <c r="AS39" s="32" t="s">
        <v>133</v>
      </c>
      <c r="AT39" s="32" t="s">
        <v>134</v>
      </c>
      <c r="AU39" s="32" t="s">
        <v>133</v>
      </c>
      <c r="AV39" s="32" t="s">
        <v>134</v>
      </c>
      <c r="AW39" s="32" t="s">
        <v>133</v>
      </c>
      <c r="AX39" s="32" t="s">
        <v>134</v>
      </c>
      <c r="BJ39" s="52" t="s">
        <v>133</v>
      </c>
      <c r="BK39" s="52" t="s">
        <v>134</v>
      </c>
    </row>
    <row r="40" spans="1:63" x14ac:dyDescent="0.25">
      <c r="A40"/>
      <c r="B40" s="91" t="s">
        <v>169</v>
      </c>
      <c r="C40" s="24"/>
      <c r="D40" s="24"/>
      <c r="E40" s="24"/>
      <c r="F40" s="24"/>
      <c r="G40"/>
      <c r="H40" s="24" t="s">
        <v>22</v>
      </c>
      <c r="I40" s="24"/>
      <c r="J40" s="24"/>
      <c r="K40" s="24"/>
      <c r="L40" s="24"/>
      <c r="M40" s="24"/>
      <c r="N40" s="24"/>
      <c r="O40" s="24"/>
      <c r="P40"/>
      <c r="Q40" s="8">
        <v>46.2</v>
      </c>
      <c r="R40" s="110"/>
      <c r="S40" s="116" t="s">
        <v>87</v>
      </c>
      <c r="T40" s="3"/>
      <c r="U40" s="3"/>
      <c r="V40" s="3" t="s">
        <v>193</v>
      </c>
      <c r="Y40" s="70" t="s">
        <v>112</v>
      </c>
      <c r="Z40" s="3">
        <f>37.5^0.45</f>
        <v>5.1087431744234335</v>
      </c>
      <c r="AF40" s="36" t="s">
        <v>124</v>
      </c>
      <c r="AG40" s="37" t="s">
        <v>125</v>
      </c>
      <c r="AH40" s="76" t="s">
        <v>112</v>
      </c>
      <c r="AJ40" s="4">
        <v>100</v>
      </c>
      <c r="AW40"/>
      <c r="AX40"/>
      <c r="BJ40"/>
      <c r="BK40"/>
    </row>
    <row r="41" spans="1:63" x14ac:dyDescent="0.25">
      <c r="A41"/>
      <c r="B41" s="91" t="s">
        <v>145</v>
      </c>
      <c r="C41" s="24"/>
      <c r="D41" s="24"/>
      <c r="E41" s="24"/>
      <c r="F41" s="24"/>
      <c r="G41"/>
      <c r="H41" s="24"/>
      <c r="I41" s="24"/>
      <c r="J41" s="24"/>
      <c r="K41" s="24"/>
      <c r="L41" s="24"/>
      <c r="M41" s="24"/>
      <c r="N41" s="24"/>
      <c r="O41" s="24"/>
      <c r="P41"/>
      <c r="Q41" s="8"/>
      <c r="R41" s="110"/>
      <c r="S41" s="116" t="s">
        <v>199</v>
      </c>
      <c r="T41" s="3"/>
      <c r="U41" s="3"/>
      <c r="V41" s="3" t="s">
        <v>194</v>
      </c>
      <c r="Y41" s="70"/>
      <c r="Z41" s="3"/>
      <c r="AF41" s="36"/>
      <c r="AG41" s="37"/>
      <c r="AH41" s="77"/>
      <c r="AW41"/>
      <c r="AX41"/>
      <c r="BJ41"/>
      <c r="BK41"/>
    </row>
    <row r="42" spans="1:63" x14ac:dyDescent="0.25">
      <c r="A42"/>
      <c r="B42" s="91" t="s">
        <v>167</v>
      </c>
      <c r="C42" s="24"/>
      <c r="D42" s="24"/>
      <c r="E42" s="24"/>
      <c r="F42" s="24"/>
      <c r="G42"/>
      <c r="H42" s="24"/>
      <c r="I42" s="24"/>
      <c r="J42" s="24"/>
      <c r="K42" s="24"/>
      <c r="L42" s="24"/>
      <c r="M42" s="8">
        <v>15.5</v>
      </c>
      <c r="N42" s="24"/>
      <c r="O42" s="24"/>
      <c r="P42"/>
      <c r="Q42"/>
      <c r="R42" s="110"/>
      <c r="S42" s="116" t="s">
        <v>198</v>
      </c>
      <c r="T42" s="3"/>
      <c r="U42" s="3"/>
      <c r="V42" s="3" t="s">
        <v>195</v>
      </c>
      <c r="Y42" s="70"/>
      <c r="Z42" s="3"/>
      <c r="AF42" s="36"/>
      <c r="AG42" s="37"/>
      <c r="AH42" s="78" t="s">
        <v>113</v>
      </c>
      <c r="AI42" s="4">
        <v>90</v>
      </c>
      <c r="AJ42" s="4">
        <v>100</v>
      </c>
      <c r="AL42" s="4">
        <v>100</v>
      </c>
      <c r="AP42" s="4">
        <v>100</v>
      </c>
      <c r="AW42"/>
      <c r="AX42"/>
      <c r="BJ42"/>
      <c r="BK42"/>
    </row>
    <row r="43" spans="1:63" ht="13.8" thickBot="1" x14ac:dyDescent="0.3">
      <c r="A43"/>
      <c r="B43" s="117"/>
      <c r="C43" s="44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24" t="s">
        <v>266</v>
      </c>
      <c r="Q43" s="118"/>
      <c r="R43" s="99"/>
      <c r="S43" s="119"/>
      <c r="T43" s="3"/>
      <c r="U43" s="3"/>
      <c r="Y43" s="70" t="s">
        <v>113</v>
      </c>
      <c r="Z43" s="3">
        <f>25^0.45</f>
        <v>4.2566996126039234</v>
      </c>
      <c r="AA43" s="3">
        <f>37.5^0.45</f>
        <v>5.1087431744234335</v>
      </c>
      <c r="AB43" s="3">
        <f>25^0.45</f>
        <v>4.2566996126039234</v>
      </c>
      <c r="AC43" s="3">
        <f>19^0.45</f>
        <v>3.7621761023862978</v>
      </c>
      <c r="AD43" s="3">
        <f>12.5^0.45</f>
        <v>3.116086507375345</v>
      </c>
      <c r="AE43" s="3">
        <f>9.5^0.45</f>
        <v>2.754074108566122</v>
      </c>
      <c r="AF43" s="38">
        <v>100</v>
      </c>
      <c r="AG43" s="36">
        <f>IF($N$6="1",AA43,IF($N$6="3/4",AB43,IF($N$6="1/2",AC43,IF($N$6="3/8",AD43,IF($N$6="No. 4",AE43)))))</f>
        <v>3.7621761023862978</v>
      </c>
      <c r="AH43" s="78" t="s">
        <v>110</v>
      </c>
      <c r="AK43" s="4">
        <v>90</v>
      </c>
      <c r="AL43" s="4">
        <v>100</v>
      </c>
      <c r="AN43" s="4">
        <v>100</v>
      </c>
      <c r="AO43" s="4">
        <v>90</v>
      </c>
      <c r="AP43" s="4">
        <v>100</v>
      </c>
      <c r="AR43" s="4">
        <v>100</v>
      </c>
      <c r="AW43"/>
      <c r="AX43"/>
      <c r="BJ43"/>
      <c r="BK43"/>
    </row>
    <row r="44" spans="1:63" ht="13.8" thickBot="1" x14ac:dyDescent="0.3">
      <c r="A44"/>
      <c r="B44" s="44"/>
      <c r="C44" s="44"/>
      <c r="D44" s="44"/>
      <c r="E44" s="112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112"/>
      <c r="S44" s="44"/>
      <c r="T44" s="3"/>
      <c r="U44" s="3"/>
      <c r="Y44" s="70" t="s">
        <v>109</v>
      </c>
      <c r="Z44" s="3">
        <f>12.5^0.45</f>
        <v>3.116086507375345</v>
      </c>
      <c r="AF44" s="4">
        <v>0</v>
      </c>
      <c r="AG44" s="4">
        <v>0</v>
      </c>
      <c r="AH44" s="78" t="s">
        <v>109</v>
      </c>
      <c r="AM44" s="4">
        <v>90</v>
      </c>
      <c r="AN44" s="4">
        <v>100</v>
      </c>
      <c r="AO44" s="4">
        <v>50</v>
      </c>
      <c r="AP44" s="4">
        <v>88</v>
      </c>
      <c r="AQ44" s="4">
        <v>90</v>
      </c>
      <c r="AR44" s="4">
        <v>100</v>
      </c>
      <c r="AT44" s="4">
        <v>100</v>
      </c>
      <c r="AV44" s="4">
        <v>100</v>
      </c>
      <c r="AW44"/>
      <c r="AX44">
        <v>100</v>
      </c>
      <c r="BJ44"/>
      <c r="BK44"/>
    </row>
    <row r="45" spans="1:63" x14ac:dyDescent="0.25">
      <c r="A45"/>
      <c r="B45" s="178" t="str">
        <f>B1</f>
        <v>Earth Engineering</v>
      </c>
      <c r="C45" s="179"/>
      <c r="D45" s="180"/>
      <c r="E45" s="180"/>
      <c r="F45" s="180"/>
      <c r="G45" s="180"/>
      <c r="H45" s="180"/>
      <c r="I45" s="24"/>
      <c r="J45" s="24"/>
      <c r="K45" s="24"/>
      <c r="L45" s="24"/>
      <c r="M45" s="24"/>
      <c r="N45" s="24"/>
      <c r="O45" s="24"/>
      <c r="P45" s="120" t="s">
        <v>62</v>
      </c>
      <c r="Q45" s="50"/>
      <c r="R45" s="103" t="str">
        <f>R1</f>
        <v>ABC</v>
      </c>
      <c r="S45" s="121"/>
      <c r="T45" s="3"/>
      <c r="U45" s="3"/>
      <c r="Y45" s="70" t="s">
        <v>108</v>
      </c>
      <c r="Z45" s="3">
        <f>9.5^0.45</f>
        <v>2.754074108566122</v>
      </c>
      <c r="AH45" s="78" t="s">
        <v>108</v>
      </c>
      <c r="AO45" s="4">
        <v>25</v>
      </c>
      <c r="AP45" s="4">
        <v>60</v>
      </c>
      <c r="AQ45" s="4">
        <v>50</v>
      </c>
      <c r="AR45" s="4">
        <v>80</v>
      </c>
      <c r="AS45" s="4">
        <v>90</v>
      </c>
      <c r="AT45" s="4">
        <v>100</v>
      </c>
      <c r="AV45" s="4">
        <v>100</v>
      </c>
      <c r="AW45" s="4">
        <v>90</v>
      </c>
      <c r="AX45" s="4">
        <v>100</v>
      </c>
      <c r="BJ45"/>
      <c r="BK45">
        <v>100</v>
      </c>
    </row>
    <row r="46" spans="1:63" x14ac:dyDescent="0.25">
      <c r="A46"/>
      <c r="B46" s="120" t="str">
        <f>B2</f>
        <v>Laboratory Design for Asphalt</v>
      </c>
      <c r="C46" s="5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20"/>
      <c r="Q46" s="50"/>
      <c r="R46" s="122"/>
      <c r="S46" s="121"/>
      <c r="T46" s="3"/>
      <c r="U46" s="3"/>
      <c r="Y46" s="70" t="s">
        <v>105</v>
      </c>
      <c r="Z46" s="3">
        <f>4.75^0.45</f>
        <v>2.0161002539629291</v>
      </c>
      <c r="AH46" s="77" t="s">
        <v>173</v>
      </c>
      <c r="AO46" s="4">
        <v>20</v>
      </c>
      <c r="AP46" s="4">
        <v>28</v>
      </c>
      <c r="AQ46" s="4">
        <v>20</v>
      </c>
      <c r="AR46" s="4">
        <v>35</v>
      </c>
      <c r="AS46" s="4">
        <v>26</v>
      </c>
      <c r="AT46" s="4">
        <v>60</v>
      </c>
      <c r="AU46" s="4">
        <v>90</v>
      </c>
      <c r="AV46" s="4">
        <v>100</v>
      </c>
      <c r="AW46"/>
      <c r="AX46"/>
      <c r="BJ46">
        <v>90</v>
      </c>
      <c r="BK46">
        <v>100</v>
      </c>
    </row>
    <row r="47" spans="1:63" ht="13.8" thickBot="1" x14ac:dyDescent="0.3">
      <c r="A47"/>
      <c r="B47" s="123"/>
      <c r="C47" s="12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25"/>
      <c r="Q47" s="44"/>
      <c r="R47" s="124"/>
      <c r="S47" s="126"/>
      <c r="T47" s="3"/>
      <c r="U47" s="3"/>
      <c r="Y47" s="70" t="s">
        <v>114</v>
      </c>
      <c r="Z47" s="3">
        <f>2.36^0.45</f>
        <v>1.4716698795820382</v>
      </c>
      <c r="AH47" s="77" t="s">
        <v>174</v>
      </c>
      <c r="AI47" s="4">
        <v>19</v>
      </c>
      <c r="AJ47" s="4">
        <v>45</v>
      </c>
      <c r="AK47" s="4">
        <v>23</v>
      </c>
      <c r="AL47" s="4">
        <v>49</v>
      </c>
      <c r="AM47" s="4">
        <v>28</v>
      </c>
      <c r="AN47" s="4">
        <v>58</v>
      </c>
      <c r="AO47" s="32">
        <v>16</v>
      </c>
      <c r="AP47" s="4">
        <v>24</v>
      </c>
      <c r="AQ47" s="4">
        <v>16</v>
      </c>
      <c r="AR47" s="4">
        <v>24</v>
      </c>
      <c r="AS47" s="4">
        <v>20</v>
      </c>
      <c r="AT47" s="4">
        <v>28</v>
      </c>
      <c r="AU47" s="4">
        <v>28</v>
      </c>
      <c r="AV47" s="4">
        <v>65</v>
      </c>
      <c r="AW47" s="4">
        <v>28</v>
      </c>
      <c r="AX47" s="4">
        <v>58</v>
      </c>
      <c r="BJ47"/>
      <c r="BK47"/>
    </row>
    <row r="48" spans="1:63" x14ac:dyDescent="0.25">
      <c r="A48"/>
      <c r="B48" s="120" t="s">
        <v>67</v>
      </c>
      <c r="C48" s="5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1"/>
      <c r="T48" s="3"/>
      <c r="U48" s="3"/>
      <c r="Y48" s="70" t="s">
        <v>115</v>
      </c>
      <c r="Z48" s="3">
        <f>1.18^0.45</f>
        <v>1.0773254099250416</v>
      </c>
      <c r="AH48" s="77" t="s">
        <v>175</v>
      </c>
      <c r="AU48" s="4">
        <v>22</v>
      </c>
      <c r="AV48" s="4">
        <v>36</v>
      </c>
      <c r="AW48"/>
      <c r="AX48"/>
      <c r="BJ48">
        <v>30</v>
      </c>
      <c r="BK48">
        <v>54</v>
      </c>
    </row>
    <row r="49" spans="1:63" x14ac:dyDescent="0.25">
      <c r="A49"/>
      <c r="B49" s="120"/>
      <c r="C49" s="50"/>
      <c r="D49" s="24" t="s">
        <v>51</v>
      </c>
      <c r="E49" s="18">
        <v>2.5099999999999998</v>
      </c>
      <c r="F49" s="61" t="s">
        <v>52</v>
      </c>
      <c r="G49" s="19">
        <v>5.2</v>
      </c>
      <c r="H49" s="24" t="s">
        <v>53</v>
      </c>
      <c r="I49" s="24"/>
      <c r="J49" s="24"/>
      <c r="K49" s="24"/>
      <c r="L49" s="24"/>
      <c r="M49" s="24"/>
      <c r="N49" s="24"/>
      <c r="O49" s="24"/>
      <c r="P49" s="24"/>
      <c r="Q49"/>
      <c r="R49" s="24" t="s">
        <v>147</v>
      </c>
      <c r="S49" s="121"/>
      <c r="T49" s="3"/>
      <c r="U49" s="3"/>
      <c r="Y49" s="70" t="s">
        <v>119</v>
      </c>
      <c r="Z49" s="3">
        <f>0.6^0.45</f>
        <v>0.79463568224020453</v>
      </c>
      <c r="AH49" s="77" t="s">
        <v>176</v>
      </c>
      <c r="AO49" s="4">
        <v>12</v>
      </c>
      <c r="AP49" s="4">
        <v>18</v>
      </c>
      <c r="AQ49" s="4">
        <v>12</v>
      </c>
      <c r="AR49" s="4">
        <v>18</v>
      </c>
      <c r="AS49" s="4">
        <v>12</v>
      </c>
      <c r="AT49" s="4">
        <v>18</v>
      </c>
      <c r="AU49" s="4">
        <v>18</v>
      </c>
      <c r="AV49" s="4">
        <v>28</v>
      </c>
      <c r="AW49"/>
      <c r="AX49"/>
      <c r="BJ49"/>
      <c r="BK49"/>
    </row>
    <row r="50" spans="1:63" x14ac:dyDescent="0.25">
      <c r="A50"/>
      <c r="B50" s="127"/>
      <c r="C50" s="24"/>
      <c r="D50" s="24" t="s">
        <v>81</v>
      </c>
      <c r="E50" s="24"/>
      <c r="F50" s="24"/>
      <c r="G50" s="24"/>
      <c r="H50" s="19">
        <v>4.5999999999999996</v>
      </c>
      <c r="I50" s="19">
        <v>5.0999999999999996</v>
      </c>
      <c r="J50" s="19">
        <v>5.6</v>
      </c>
      <c r="K50" s="19"/>
      <c r="L50" s="19">
        <v>6.1</v>
      </c>
      <c r="M50" s="19"/>
      <c r="N50" s="24" t="s">
        <v>57</v>
      </c>
      <c r="O50" s="24"/>
      <c r="P50" s="24"/>
      <c r="Q50" s="24"/>
      <c r="R50" s="29">
        <f>G49</f>
        <v>5.2</v>
      </c>
      <c r="S50" s="121" t="s">
        <v>148</v>
      </c>
      <c r="T50" s="3"/>
      <c r="U50" s="3"/>
      <c r="Y50" s="70" t="s">
        <v>116</v>
      </c>
      <c r="Z50" s="3">
        <f>0.3^0.45</f>
        <v>0.58170736792793831</v>
      </c>
      <c r="AH50" s="77" t="s">
        <v>177</v>
      </c>
      <c r="AS50" s="4">
        <v>10</v>
      </c>
      <c r="AT50" s="4">
        <v>15</v>
      </c>
      <c r="AU50" s="4">
        <v>15</v>
      </c>
      <c r="AV50" s="4">
        <v>22</v>
      </c>
      <c r="AW50"/>
      <c r="AX50"/>
      <c r="BJ50"/>
      <c r="BK50"/>
    </row>
    <row r="51" spans="1:63" x14ac:dyDescent="0.25">
      <c r="A51"/>
      <c r="B51" s="127"/>
      <c r="C51" s="24"/>
      <c r="D51" s="24" t="s">
        <v>64</v>
      </c>
      <c r="E51" s="24"/>
      <c r="F51" s="24"/>
      <c r="G51" s="24"/>
      <c r="H51" s="25">
        <f>100/((100-H50)/((100-G49)/((100/E49)-(G49/Q36)))+((H50)/Q36))</f>
        <v>2.5329978503150188</v>
      </c>
      <c r="I51" s="25">
        <f>100/((100-I50)/((100-G49)/((100/E49)-(G49/Q36)))+((I50/Q36)))</f>
        <v>2.5138039304894209</v>
      </c>
      <c r="J51" s="25">
        <f>100/((100-J50)/((100-G49)/((100/E49)-(G49/Q36)))+((J50/Q36)))</f>
        <v>2.49489870884284</v>
      </c>
      <c r="K51" s="25"/>
      <c r="L51" s="25">
        <f>100/((100-L50)/((100-G49)/((100/E49)-(G49/Q36)))+((L50/Q36)))</f>
        <v>2.4762757204761492</v>
      </c>
      <c r="M51" s="25"/>
      <c r="N51" s="24"/>
      <c r="O51" s="24"/>
      <c r="P51" s="24"/>
      <c r="Q51" s="24"/>
      <c r="R51" s="25">
        <f>100/((100-$R$50)/((100-$G$49)/((100/$E$49)-($G$49/$Q$36)))+($R$50/$Q$36))</f>
        <v>2.5099999999999998</v>
      </c>
      <c r="S51" s="121" t="s">
        <v>149</v>
      </c>
      <c r="T51" s="3"/>
      <c r="U51" s="3"/>
      <c r="Y51" s="70" t="s">
        <v>117</v>
      </c>
      <c r="Z51" s="3">
        <f>0.15^0.45</f>
        <v>0.42583471830473674</v>
      </c>
      <c r="AH51" s="77" t="s">
        <v>178</v>
      </c>
      <c r="AW51"/>
      <c r="AX51"/>
      <c r="BJ51"/>
      <c r="BK51"/>
    </row>
    <row r="52" spans="1:63" x14ac:dyDescent="0.25">
      <c r="A52"/>
      <c r="B52" s="120" t="s">
        <v>23</v>
      </c>
      <c r="C52" s="5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21"/>
      <c r="T52" s="3"/>
      <c r="U52" s="3"/>
      <c r="Y52" s="70" t="s">
        <v>118</v>
      </c>
      <c r="Z52" s="3">
        <f>0.075^0.45</f>
        <v>0.31172925995349998</v>
      </c>
      <c r="AH52" s="77" t="s">
        <v>179</v>
      </c>
      <c r="AI52" s="4">
        <v>1</v>
      </c>
      <c r="AJ52" s="4">
        <v>7</v>
      </c>
      <c r="AK52" s="4">
        <v>2</v>
      </c>
      <c r="AL52" s="4">
        <v>8</v>
      </c>
      <c r="AM52" s="4">
        <v>2</v>
      </c>
      <c r="AN52" s="4">
        <v>10</v>
      </c>
      <c r="AO52" s="4">
        <v>8</v>
      </c>
      <c r="AP52" s="4">
        <v>11</v>
      </c>
      <c r="AQ52" s="32">
        <v>8</v>
      </c>
      <c r="AR52" s="4">
        <v>11</v>
      </c>
      <c r="AS52" s="4">
        <v>8</v>
      </c>
      <c r="AT52" s="4">
        <v>12</v>
      </c>
      <c r="AU52" s="4">
        <v>12</v>
      </c>
      <c r="AV52" s="4">
        <v>15</v>
      </c>
      <c r="AW52" s="4">
        <v>2</v>
      </c>
      <c r="AX52" s="4">
        <v>10</v>
      </c>
      <c r="BJ52">
        <v>2</v>
      </c>
      <c r="BK52">
        <v>12</v>
      </c>
    </row>
    <row r="53" spans="1:63" x14ac:dyDescent="0.25">
      <c r="A53"/>
      <c r="B53" s="127"/>
      <c r="C53" s="24"/>
      <c r="D53" s="24" t="s">
        <v>24</v>
      </c>
      <c r="E53" s="24"/>
      <c r="F53" s="24"/>
      <c r="G53" s="24"/>
      <c r="H53" s="18">
        <v>2.3879999999999999</v>
      </c>
      <c r="I53" s="18">
        <v>2.4079999999999999</v>
      </c>
      <c r="J53" s="18">
        <v>2.4220000000000002</v>
      </c>
      <c r="K53" s="18"/>
      <c r="L53" s="18">
        <v>2.4300000000000002</v>
      </c>
      <c r="M53" s="18"/>
      <c r="N53" s="24"/>
      <c r="O53" s="24"/>
      <c r="P53" s="24"/>
      <c r="Q53" s="24"/>
      <c r="R53" s="25">
        <f>R51-((R56*R51)/100)</f>
        <v>2.4095999999999997</v>
      </c>
      <c r="S53" s="121" t="s">
        <v>150</v>
      </c>
      <c r="T53" s="3"/>
      <c r="U53" s="3"/>
      <c r="AW53"/>
      <c r="AX53"/>
      <c r="BJ53"/>
      <c r="BK53"/>
    </row>
    <row r="54" spans="1:63" x14ac:dyDescent="0.25">
      <c r="A54"/>
      <c r="B54" s="127"/>
      <c r="C54" s="24"/>
      <c r="D54" s="24" t="s">
        <v>25</v>
      </c>
      <c r="E54" s="24"/>
      <c r="F54" s="24"/>
      <c r="G54" s="24"/>
      <c r="H54" s="20">
        <v>65.099999999999994</v>
      </c>
      <c r="I54" s="20">
        <v>64.8</v>
      </c>
      <c r="J54" s="20">
        <v>63.6</v>
      </c>
      <c r="K54" s="20"/>
      <c r="L54" s="20">
        <v>62.8</v>
      </c>
      <c r="M54" s="20"/>
      <c r="N54" s="24"/>
      <c r="O54" s="24"/>
      <c r="P54" s="24"/>
      <c r="Q54" s="24"/>
      <c r="R54" s="24"/>
      <c r="S54" s="121"/>
      <c r="T54" s="3"/>
      <c r="U54" s="3"/>
      <c r="AW54"/>
      <c r="AX54"/>
      <c r="BJ54"/>
      <c r="BK54"/>
    </row>
    <row r="55" spans="1:63" x14ac:dyDescent="0.25">
      <c r="A55"/>
      <c r="B55" s="120" t="s">
        <v>26</v>
      </c>
      <c r="C55" s="5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50" t="s">
        <v>31</v>
      </c>
      <c r="P55"/>
      <c r="Q55" s="50"/>
      <c r="R55" s="24"/>
      <c r="S55" s="121"/>
      <c r="T55" s="3"/>
      <c r="U55" s="3"/>
      <c r="AW55"/>
      <c r="AX55"/>
      <c r="BJ55"/>
      <c r="BK55"/>
    </row>
    <row r="56" spans="1:63" x14ac:dyDescent="0.25">
      <c r="A56"/>
      <c r="B56" s="127"/>
      <c r="C56" s="24"/>
      <c r="D56" s="24" t="s">
        <v>27</v>
      </c>
      <c r="E56" s="24"/>
      <c r="F56" s="24"/>
      <c r="G56" s="24"/>
      <c r="H56" s="26">
        <f>100*(H51-H53)/H51</f>
        <v>5.7243574169234321</v>
      </c>
      <c r="I56" s="26">
        <f>100*(I51-I53)/I51</f>
        <v>4.2089173784059453</v>
      </c>
      <c r="J56" s="26">
        <f>100*(J51-J53)/J51</f>
        <v>2.9219105603149345</v>
      </c>
      <c r="K56" s="26"/>
      <c r="L56" s="26">
        <f>100*(L51-L53)/L51</f>
        <v>1.8687628398363867</v>
      </c>
      <c r="M56" s="26"/>
      <c r="N56" s="24" t="s">
        <v>57</v>
      </c>
      <c r="O56" s="129" t="str">
        <f>IF($J$6="SMA 3/4","3% to 4%",IF($J$6="SMA 1/2","3% to 4%",IF($J$6="SMA 3/8","3% to 4%",IF($J$6="SMA No. 4","3% to 4%",IF(AND($J$6="ST",R3=5),"2% to 3%",IF(AND(R3=5,$J$6="SX"),"3% to 4%",IF(AND(R3=5,$J$6="SF"),"3% to 4%",IF(AND(R3=5,$J$6="S"),"3% to 4%",IF(AND(R3=5,$J$6="SG"),"3% to 4%",IF(AND(R3=5,$J$6="SMA 3/4"),"3% to 4%",IF(AND(R3=5,$J$6="SMA 1/2"),"3% to 4%",IF(AND(R3=5,$J$6="SMA 3/8"),"3% to 4%",IF(AND(R3=5,$J$6="SMA No. 4"),"3% to 4%",IF(AND(R3=1,$J$6="SF"),"4% to 5%",IF(AND(R3=2,$J$6="SF"),"4% to 5%",IF(AND(R3=3,$J$6="SF"),"4% to 5%",IF(AND(R3=4,$J$6="SF"),"4% to 5%",IF(AND(R3=6,$J$6="SF"),"4% to 5%","3.5% to 4.5%"))))))))))))))))))</f>
        <v>2% to 3%</v>
      </c>
      <c r="P56"/>
      <c r="Q56" s="61"/>
      <c r="R56" s="40">
        <v>4</v>
      </c>
      <c r="S56" s="121" t="s">
        <v>151</v>
      </c>
      <c r="T56" s="3"/>
      <c r="U56" s="3"/>
      <c r="AW56"/>
      <c r="AX56"/>
      <c r="BJ56"/>
      <c r="BK56"/>
    </row>
    <row r="57" spans="1:63" x14ac:dyDescent="0.25">
      <c r="A57"/>
      <c r="B57" s="120" t="s">
        <v>28</v>
      </c>
      <c r="C57" s="5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30" t="s">
        <v>32</v>
      </c>
      <c r="P57"/>
      <c r="Q57" s="130"/>
      <c r="R57" s="24"/>
      <c r="S57" s="121"/>
      <c r="T57" s="3"/>
      <c r="U57" s="3"/>
      <c r="AW57"/>
      <c r="AX57"/>
      <c r="BJ57"/>
      <c r="BK57"/>
    </row>
    <row r="58" spans="1:63" x14ac:dyDescent="0.25">
      <c r="A58"/>
      <c r="B58" s="127"/>
      <c r="C58" s="24"/>
      <c r="D58" s="24" t="s">
        <v>29</v>
      </c>
      <c r="E58" s="24"/>
      <c r="F58" s="24"/>
      <c r="G58" s="24"/>
      <c r="H58" s="26">
        <f>100-((H53*(100-H50)))/$Q$30</f>
        <v>15.761357362042091</v>
      </c>
      <c r="I58" s="26">
        <f t="shared" ref="I58:L58" si="5">100-((I53*(100-I50)))/$Q$30</f>
        <v>15.501041086318949</v>
      </c>
      <c r="J58" s="26">
        <f t="shared" si="5"/>
        <v>15.45755643571519</v>
      </c>
      <c r="K58" s="26"/>
      <c r="L58" s="26">
        <f t="shared" si="5"/>
        <v>15.627575503296868</v>
      </c>
      <c r="M58" s="26"/>
      <c r="N58" s="24" t="s">
        <v>57</v>
      </c>
      <c r="O58" s="39" t="s">
        <v>263</v>
      </c>
      <c r="P58"/>
      <c r="Q58" s="61"/>
      <c r="R58" s="26">
        <f>100-((R53*(100-R50))/Q30)</f>
        <v>15.533994760313902</v>
      </c>
      <c r="S58" s="121" t="s">
        <v>152</v>
      </c>
      <c r="T58" s="3"/>
      <c r="U58" s="3"/>
      <c r="AW58"/>
      <c r="AX58"/>
      <c r="BJ58"/>
      <c r="BK58"/>
    </row>
    <row r="59" spans="1:63" x14ac:dyDescent="0.25">
      <c r="A59"/>
      <c r="B59" s="127"/>
      <c r="C59" s="24"/>
      <c r="D59" s="24" t="s">
        <v>30</v>
      </c>
      <c r="E59" s="24"/>
      <c r="F59" s="24"/>
      <c r="G59" s="24"/>
      <c r="H59" s="27">
        <f>(100*(H58-H56))/H58</f>
        <v>63.681063214077355</v>
      </c>
      <c r="I59" s="27">
        <f>(100*(I58-I56))/I58</f>
        <v>72.847518079797297</v>
      </c>
      <c r="J59" s="27">
        <f>(100*(J58-J56))/J58</f>
        <v>81.09720270169116</v>
      </c>
      <c r="K59" s="27"/>
      <c r="L59" s="27">
        <f>(100*(L58-L56))/L58</f>
        <v>88.04188890693797</v>
      </c>
      <c r="M59" s="27"/>
      <c r="N59" s="24" t="s">
        <v>57</v>
      </c>
      <c r="O59" s="61" t="str">
        <f>IF(P6=75,"65-80%",IF(P6=50,"70-80%","65-75%"))</f>
        <v>65-75%</v>
      </c>
      <c r="P59"/>
      <c r="Q59" s="61"/>
      <c r="R59" s="27">
        <f>100*((R58-R56)/R58)</f>
        <v>74.25002350188015</v>
      </c>
      <c r="S59" s="121" t="s">
        <v>153</v>
      </c>
      <c r="T59" s="3"/>
      <c r="U59" s="3"/>
      <c r="AW59"/>
      <c r="AX59"/>
      <c r="BJ59"/>
      <c r="BK59"/>
    </row>
    <row r="60" spans="1:63" x14ac:dyDescent="0.25">
      <c r="A60"/>
      <c r="B60" s="127"/>
      <c r="C60" s="24"/>
      <c r="D60" s="24" t="s">
        <v>76</v>
      </c>
      <c r="E60" s="24"/>
      <c r="F60" s="24"/>
      <c r="G60" s="24"/>
      <c r="H60" s="28">
        <f>(100-H50)/((100/H51)-(H50/$Q$36))</f>
        <v>2.7243735341151392</v>
      </c>
      <c r="I60" s="28">
        <f>(100-I50)/((100/I51)-(I50/$Q$36))</f>
        <v>2.7243735341151392</v>
      </c>
      <c r="J60" s="28">
        <f>(100-J50)/((100/J51)-(J50/$Q$36))</f>
        <v>2.7243735341151387</v>
      </c>
      <c r="K60" s="28"/>
      <c r="L60" s="28">
        <f>(100-L50)/((100/L51)-(L50/$Q$36))</f>
        <v>2.7243735341151387</v>
      </c>
      <c r="M60" s="28"/>
      <c r="N60" s="24"/>
      <c r="O60" s="61"/>
      <c r="P60"/>
      <c r="Q60" s="61"/>
      <c r="R60" s="24"/>
      <c r="S60" s="121"/>
      <c r="T60" s="3"/>
      <c r="U60" s="3"/>
      <c r="AW60"/>
      <c r="AX60"/>
      <c r="BJ60"/>
      <c r="BK60"/>
    </row>
    <row r="61" spans="1:63" x14ac:dyDescent="0.25">
      <c r="A61"/>
      <c r="B61" s="127"/>
      <c r="C61" s="24"/>
      <c r="D61" s="24" t="s">
        <v>88</v>
      </c>
      <c r="E61" s="24"/>
      <c r="F61" s="24"/>
      <c r="G61" s="24"/>
      <c r="H61" s="29">
        <f>-((100-H50)*$Q$36)*((H60-$Q$30)/(H60*$Q$30))+H50</f>
        <v>4.3333948674276899</v>
      </c>
      <c r="I61" s="29">
        <f>-((100-I50)*$Q$36)*((I60-$Q$30)/(I60*$Q$30))+I50</f>
        <v>4.834792168961088</v>
      </c>
      <c r="J61" s="29">
        <f>-((100-J50)*$Q$36)*((J60-$Q$30)/(J60*$Q$30))+J50</f>
        <v>5.3361894704944914</v>
      </c>
      <c r="K61" s="29"/>
      <c r="L61" s="29">
        <f>-((100-$L$50)*$Q$36)*(($L$60-$Q$30)/($L$60*$Q$30))+$L$50</f>
        <v>5.8375867720278887</v>
      </c>
      <c r="M61" s="29"/>
      <c r="N61" s="24"/>
      <c r="O61" s="61"/>
      <c r="P61"/>
      <c r="Q61" s="61"/>
      <c r="R61" s="29">
        <f>-((100-$R$50)*$Q$36)*(($Q$33-$Q$30)/($Q$33*$Q$30))+$R$50</f>
        <v>4.9350716292677737</v>
      </c>
      <c r="S61" s="121" t="s">
        <v>156</v>
      </c>
      <c r="T61" s="3"/>
      <c r="U61" s="3"/>
      <c r="AW61"/>
      <c r="AX61"/>
      <c r="BJ61"/>
      <c r="BK61"/>
    </row>
    <row r="62" spans="1:63" x14ac:dyDescent="0.25">
      <c r="A62"/>
      <c r="B62" s="127"/>
      <c r="C62" s="24"/>
      <c r="D62" s="24" t="s">
        <v>58</v>
      </c>
      <c r="E62" s="24"/>
      <c r="F62" s="24"/>
      <c r="G62" s="24"/>
      <c r="H62" s="29">
        <f>($Q$28-1)/H61</f>
        <v>1.3211350858036088</v>
      </c>
      <c r="I62" s="29">
        <f>($Q$28-1)/I61</f>
        <v>1.1841253563604992</v>
      </c>
      <c r="J62" s="29">
        <f>($Q$28-1)/J61</f>
        <v>1.0728629542963881</v>
      </c>
      <c r="K62" s="29"/>
      <c r="L62" s="29">
        <f>($Q$28-1)/L61</f>
        <v>0.98071347349089977</v>
      </c>
      <c r="M62" s="29"/>
      <c r="N62" s="24"/>
      <c r="O62" s="143" t="s">
        <v>264</v>
      </c>
      <c r="P62" s="33"/>
      <c r="Q62" s="61"/>
      <c r="R62" s="29">
        <f>($Q$28-1)/R61</f>
        <v>1.1600642158965846</v>
      </c>
      <c r="S62" s="121" t="s">
        <v>154</v>
      </c>
      <c r="T62" s="3"/>
      <c r="U62" s="3"/>
      <c r="AW62"/>
      <c r="AX62"/>
      <c r="BJ62"/>
      <c r="BK62"/>
    </row>
    <row r="63" spans="1:63" x14ac:dyDescent="0.25">
      <c r="A63"/>
      <c r="B63" s="127"/>
      <c r="C63" s="24"/>
      <c r="D63" s="24" t="s">
        <v>207</v>
      </c>
      <c r="E63" s="24"/>
      <c r="F63" s="24"/>
      <c r="G63" s="24"/>
      <c r="H63" s="5">
        <v>48</v>
      </c>
      <c r="I63" s="5">
        <v>48</v>
      </c>
      <c r="J63" s="5">
        <v>47</v>
      </c>
      <c r="K63" s="5"/>
      <c r="L63" s="5">
        <v>44</v>
      </c>
      <c r="M63" s="5"/>
      <c r="N63" s="24"/>
      <c r="O63" s="61" t="str">
        <f>IF(P6=75,"28",IF(P6=100,"30",IF(P6=125,"30",NA())))</f>
        <v>30</v>
      </c>
      <c r="P63"/>
      <c r="Q63" s="61"/>
      <c r="R63" s="40">
        <v>48</v>
      </c>
      <c r="S63" s="121" t="s">
        <v>155</v>
      </c>
      <c r="T63" s="3"/>
      <c r="U63" s="3"/>
      <c r="AW63"/>
      <c r="AX63"/>
      <c r="BJ63"/>
      <c r="BK63"/>
    </row>
    <row r="64" spans="1:63" x14ac:dyDescent="0.25">
      <c r="A64"/>
      <c r="B64" s="12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1"/>
      <c r="P64"/>
      <c r="Q64" s="61"/>
      <c r="R64" s="24"/>
      <c r="S64" s="121"/>
      <c r="T64" s="3"/>
      <c r="U64" s="3"/>
      <c r="AW64"/>
      <c r="AX64"/>
      <c r="BJ64"/>
      <c r="BK64"/>
    </row>
    <row r="65" spans="1:63" ht="21.6" thickBot="1" x14ac:dyDescent="0.3">
      <c r="A65"/>
      <c r="B65" s="125"/>
      <c r="C65" s="44"/>
      <c r="D65" s="44" t="s">
        <v>208</v>
      </c>
      <c r="E65" s="44"/>
      <c r="F65" s="44"/>
      <c r="G65" s="44"/>
      <c r="H65" s="49">
        <f>(($N$13*$N$16)+($O$13*$O$16)+($P$13*$P$16))/H61</f>
        <v>32.884148423932629</v>
      </c>
      <c r="I65" s="49">
        <f>(($N$13*$N$16)+($O$13*$O$16)+($P$13*$P$16))/I61</f>
        <v>29.473862581898892</v>
      </c>
      <c r="J65" s="49">
        <f>(($N$13*$N$16)+($O$13*$O$16)+($P$13*$P$16))/J61</f>
        <v>26.704449080739796</v>
      </c>
      <c r="K65" s="49"/>
      <c r="L65" s="49">
        <f>(($N$13*$N$16)+($O$13*$O$16)+($P$13*$P$16))/L61</f>
        <v>24.410772047590083</v>
      </c>
      <c r="M65" s="44" t="e">
        <f>(($N$13*$N$16)+($O$13*$O$16)+($P$13*$P$16))/M61</f>
        <v>#DIV/0!</v>
      </c>
      <c r="N65" s="44"/>
      <c r="O65" s="139" t="s">
        <v>235</v>
      </c>
      <c r="P65" s="99"/>
      <c r="Q65" s="118"/>
      <c r="R65" s="49">
        <f>(($N$13*$N$16)+($O$13*$O$16)+($P$13*$P$16))/R61</f>
        <v>28.874960832360401</v>
      </c>
      <c r="S65" s="138" t="s">
        <v>235</v>
      </c>
      <c r="T65" s="3"/>
      <c r="U65" s="3"/>
      <c r="AW65"/>
      <c r="AX65"/>
      <c r="BJ65"/>
      <c r="BK65"/>
    </row>
    <row r="66" spans="1:63" hidden="1" x14ac:dyDescent="0.25">
      <c r="A66"/>
      <c r="B66" s="120" t="s">
        <v>33</v>
      </c>
      <c r="C66" s="5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21"/>
      <c r="T66" s="3"/>
      <c r="U66" s="3"/>
      <c r="AW66"/>
      <c r="AX66"/>
      <c r="BJ66"/>
      <c r="BK66"/>
    </row>
    <row r="67" spans="1:63" hidden="1" x14ac:dyDescent="0.25">
      <c r="A67"/>
      <c r="B67" s="127"/>
      <c r="C67" s="24"/>
      <c r="D67" s="24" t="s">
        <v>34</v>
      </c>
      <c r="E67" s="24"/>
      <c r="F67" s="24"/>
      <c r="G67" s="24"/>
      <c r="H67" s="131">
        <v>5.2</v>
      </c>
      <c r="I67" s="24"/>
      <c r="J67" s="24" t="s">
        <v>36</v>
      </c>
      <c r="K67" s="24"/>
      <c r="L67" s="24"/>
      <c r="M67" s="24"/>
      <c r="N67" s="132">
        <v>4</v>
      </c>
      <c r="O67" s="24"/>
      <c r="P67"/>
      <c r="Q67" s="73"/>
      <c r="R67"/>
      <c r="S67" s="121"/>
      <c r="T67" s="3"/>
      <c r="U67" s="3"/>
      <c r="AW67"/>
      <c r="AX67"/>
      <c r="BJ67"/>
      <c r="BK67"/>
    </row>
    <row r="68" spans="1:63" hidden="1" x14ac:dyDescent="0.25">
      <c r="A68"/>
      <c r="B68" s="127"/>
      <c r="C68" s="24"/>
      <c r="D68" s="24" t="s">
        <v>35</v>
      </c>
      <c r="E68" s="24"/>
      <c r="F68" s="24"/>
      <c r="G68" s="24"/>
      <c r="H68" s="25">
        <f>100/((100-$H$67)/((100-$G$49)/((100/$E$49)-($G$49/$Q$36)))+($H$67/$Q$36))</f>
        <v>2.5099999999999998</v>
      </c>
      <c r="I68" s="24"/>
      <c r="J68" s="24" t="s">
        <v>37</v>
      </c>
      <c r="K68" s="24"/>
      <c r="L68" s="24"/>
      <c r="M68" s="24"/>
      <c r="N68" s="128">
        <v>15</v>
      </c>
      <c r="O68" s="24"/>
      <c r="P68"/>
      <c r="Q68" s="26"/>
      <c r="R68"/>
      <c r="S68" s="121"/>
      <c r="T68" s="3"/>
      <c r="U68" s="3"/>
      <c r="AW68"/>
      <c r="AX68"/>
      <c r="BJ68"/>
      <c r="BK68"/>
    </row>
    <row r="69" spans="1:63" ht="13.8" hidden="1" thickBot="1" x14ac:dyDescent="0.3">
      <c r="A69"/>
      <c r="B69" s="125"/>
      <c r="C69" s="44"/>
      <c r="D69" s="44" t="s">
        <v>90</v>
      </c>
      <c r="E69" s="44"/>
      <c r="F69" s="44"/>
      <c r="G69" s="44"/>
      <c r="H69" s="31"/>
      <c r="I69" s="44"/>
      <c r="J69" s="44"/>
      <c r="K69" s="44"/>
      <c r="L69" s="44"/>
      <c r="M69" s="44"/>
      <c r="N69" s="44"/>
      <c r="O69" s="44"/>
      <c r="P69" s="49"/>
      <c r="Q69" s="49"/>
      <c r="R69" s="99"/>
      <c r="S69" s="126"/>
      <c r="T69" s="3"/>
      <c r="U69" s="3"/>
      <c r="AW69"/>
      <c r="AX69"/>
      <c r="BJ69"/>
      <c r="BK69"/>
    </row>
    <row r="70" spans="1:63" x14ac:dyDescent="0.25">
      <c r="A70"/>
      <c r="B70" s="120" t="s">
        <v>38</v>
      </c>
      <c r="C70" s="50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50" t="s">
        <v>43</v>
      </c>
      <c r="O70" s="50"/>
      <c r="P70" s="24"/>
      <c r="Q70" s="24"/>
      <c r="R70" s="24"/>
      <c r="S70" s="121"/>
      <c r="T70" s="3"/>
      <c r="U70" s="3"/>
      <c r="AW70"/>
      <c r="AX70"/>
      <c r="BJ70"/>
      <c r="BK70"/>
    </row>
    <row r="71" spans="1:63" x14ac:dyDescent="0.25">
      <c r="A71"/>
      <c r="B71" s="127"/>
      <c r="C71" s="24"/>
      <c r="D71" s="24" t="s">
        <v>50</v>
      </c>
      <c r="E71" s="24"/>
      <c r="F71" s="24"/>
      <c r="G71" s="24"/>
      <c r="H71" s="29">
        <f>+R50</f>
        <v>5.2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121"/>
      <c r="T71" s="3"/>
      <c r="U71" s="3"/>
      <c r="AW71"/>
      <c r="AX71"/>
      <c r="BJ71"/>
      <c r="BK71"/>
    </row>
    <row r="72" spans="1:63" x14ac:dyDescent="0.25">
      <c r="A72"/>
      <c r="B72" s="127"/>
      <c r="C72" s="24"/>
      <c r="D72" s="24" t="s">
        <v>89</v>
      </c>
      <c r="E72" s="24"/>
      <c r="F72" s="24"/>
      <c r="G72" s="24"/>
      <c r="H72" s="27">
        <f>+(H74/H73)*100</f>
        <v>87.591240875912419</v>
      </c>
      <c r="I72" s="24" t="s">
        <v>57</v>
      </c>
      <c r="J72" s="24"/>
      <c r="K72" s="24"/>
      <c r="L72" s="24"/>
      <c r="M72" s="24"/>
      <c r="N72" s="24" t="str">
        <f>IF(J6="SMA 3/4","&gt;70%",IF($J$6="SMA 1/2","&gt;70%",IF($J$6="SMA 3/8","&gt;70%",IF($J$6="SMA No. 4","&gt;70%","&gt;80%"))))</f>
        <v>&gt;80%</v>
      </c>
      <c r="O72" s="24"/>
      <c r="P72" s="24"/>
      <c r="Q72" s="24"/>
      <c r="R72" s="24"/>
      <c r="S72" s="121"/>
      <c r="T72" s="3"/>
      <c r="U72" s="3"/>
      <c r="AW72"/>
      <c r="AX72"/>
      <c r="BJ72"/>
      <c r="BK72"/>
    </row>
    <row r="73" spans="1:63" x14ac:dyDescent="0.25">
      <c r="A73"/>
      <c r="B73" s="127"/>
      <c r="C73" s="24"/>
      <c r="D73" s="24" t="s">
        <v>39</v>
      </c>
      <c r="E73" s="24"/>
      <c r="F73" s="24"/>
      <c r="G73" s="24"/>
      <c r="H73" s="5">
        <v>137</v>
      </c>
      <c r="I73" s="24"/>
      <c r="J73" s="24" t="s">
        <v>55</v>
      </c>
      <c r="K73" s="24"/>
      <c r="L73" s="24"/>
      <c r="M73" s="24"/>
      <c r="N73" s="24" t="s">
        <v>44</v>
      </c>
      <c r="O73" s="24"/>
      <c r="P73" s="24"/>
      <c r="Q73" s="24"/>
      <c r="R73" s="24"/>
      <c r="S73" s="121"/>
      <c r="T73" s="3"/>
      <c r="U73" s="3"/>
      <c r="AW73"/>
      <c r="AX73"/>
      <c r="BJ73"/>
      <c r="BK73"/>
    </row>
    <row r="74" spans="1:63" x14ac:dyDescent="0.25">
      <c r="A74"/>
      <c r="B74" s="127"/>
      <c r="C74" s="24"/>
      <c r="D74" s="24" t="s">
        <v>40</v>
      </c>
      <c r="E74" s="24"/>
      <c r="F74" s="24"/>
      <c r="G74" s="24"/>
      <c r="H74" s="5">
        <v>120</v>
      </c>
      <c r="I74" s="24"/>
      <c r="J74" s="24" t="s">
        <v>56</v>
      </c>
      <c r="K74" s="24"/>
      <c r="L74" s="24"/>
      <c r="M74" s="24"/>
      <c r="N74" s="24"/>
      <c r="O74" s="24"/>
      <c r="P74" s="24"/>
      <c r="Q74" s="24"/>
      <c r="R74" s="24"/>
      <c r="S74" s="121"/>
      <c r="T74" s="3"/>
      <c r="U74" s="3"/>
      <c r="AW74"/>
      <c r="AX74"/>
      <c r="BJ74"/>
      <c r="BK74"/>
    </row>
    <row r="75" spans="1:63" x14ac:dyDescent="0.25">
      <c r="A75"/>
      <c r="B75" s="127"/>
      <c r="C75" s="24"/>
      <c r="D75" s="24" t="s">
        <v>41</v>
      </c>
      <c r="E75" s="24"/>
      <c r="F75" s="24"/>
      <c r="G75" s="24"/>
      <c r="H75" s="5">
        <v>7.7</v>
      </c>
      <c r="I75" s="24"/>
      <c r="J75" s="24"/>
      <c r="K75" s="24"/>
      <c r="L75" s="24"/>
      <c r="M75" s="24"/>
      <c r="N75" s="24" t="s">
        <v>144</v>
      </c>
      <c r="O75" s="24"/>
      <c r="P75" s="24"/>
      <c r="Q75" s="24"/>
      <c r="R75" s="24"/>
      <c r="S75" s="121"/>
      <c r="T75" s="3"/>
      <c r="U75" s="3"/>
      <c r="AW75"/>
      <c r="AX75"/>
      <c r="BJ75"/>
      <c r="BK75"/>
    </row>
    <row r="76" spans="1:63" ht="13.8" thickBot="1" x14ac:dyDescent="0.3">
      <c r="A76"/>
      <c r="B76" s="125"/>
      <c r="C76" s="44"/>
      <c r="D76" s="44" t="s">
        <v>42</v>
      </c>
      <c r="E76" s="44"/>
      <c r="F76" s="44"/>
      <c r="G76" s="44"/>
      <c r="H76" s="7">
        <v>90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126"/>
      <c r="T76" s="3"/>
      <c r="U76" s="3"/>
      <c r="AW76"/>
      <c r="AX76"/>
      <c r="BJ76"/>
      <c r="BK76"/>
    </row>
    <row r="77" spans="1:63" x14ac:dyDescent="0.25">
      <c r="A77"/>
      <c r="B77" s="120" t="s">
        <v>204</v>
      </c>
      <c r="C77" s="5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121"/>
      <c r="T77" s="3"/>
      <c r="U77" s="3"/>
      <c r="AW77"/>
      <c r="AX77"/>
      <c r="BJ77"/>
      <c r="BK77"/>
    </row>
    <row r="78" spans="1:63" x14ac:dyDescent="0.25">
      <c r="A78"/>
      <c r="B78" s="127"/>
      <c r="C78" s="24"/>
      <c r="D78" s="24" t="s">
        <v>135</v>
      </c>
      <c r="E78" s="24"/>
      <c r="F78" s="24"/>
      <c r="G78" s="24"/>
      <c r="H78" s="25">
        <f>((1-(R56/100))*R51)</f>
        <v>2.4095999999999997</v>
      </c>
      <c r="I78" s="24"/>
      <c r="J78" s="24"/>
      <c r="K78" s="24"/>
      <c r="L78" s="24"/>
      <c r="M78" s="24"/>
      <c r="N78" s="24"/>
      <c r="O78" s="24"/>
      <c r="P78" s="97" t="s">
        <v>143</v>
      </c>
      <c r="Q78" s="39"/>
      <c r="R78" s="24"/>
      <c r="S78" s="121"/>
      <c r="T78" s="3"/>
      <c r="U78" s="3"/>
      <c r="W78" s="47"/>
      <c r="AW78"/>
      <c r="AX78"/>
      <c r="BJ78"/>
      <c r="BK78"/>
    </row>
    <row r="79" spans="1:63" x14ac:dyDescent="0.25">
      <c r="A79"/>
      <c r="B79" s="127"/>
      <c r="C79" s="24"/>
      <c r="D79" s="24" t="s">
        <v>181</v>
      </c>
      <c r="E79" s="24"/>
      <c r="F79" s="24"/>
      <c r="G79" s="24"/>
      <c r="H79" s="25">
        <f>Q35</f>
        <v>2.7549999999999999</v>
      </c>
      <c r="I79" s="24"/>
      <c r="J79" s="24"/>
      <c r="K79" s="24"/>
      <c r="L79" s="24"/>
      <c r="M79" s="24"/>
      <c r="N79" s="24"/>
      <c r="O79" s="24"/>
      <c r="P79" s="97" t="s">
        <v>136</v>
      </c>
      <c r="Q79" s="1" t="e">
        <f>100-VLOOKUP(Q78,C17:Q28,14,FALSE)</f>
        <v>#N/A</v>
      </c>
      <c r="R79" s="24"/>
      <c r="S79" s="121"/>
      <c r="T79" s="3"/>
      <c r="U79" s="3"/>
      <c r="AW79"/>
      <c r="AX79"/>
      <c r="BJ79"/>
      <c r="BK79"/>
    </row>
    <row r="80" spans="1:63" x14ac:dyDescent="0.25">
      <c r="A80"/>
      <c r="B80" s="127"/>
      <c r="C80" s="24"/>
      <c r="D80" s="24" t="s">
        <v>182</v>
      </c>
      <c r="E80" s="24"/>
      <c r="F80" s="24"/>
      <c r="G80" s="24"/>
      <c r="H80" s="26" t="e">
        <f>((100-$R$50)/100)*(Q79/100)*100</f>
        <v>#N/A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121"/>
      <c r="T80" s="3"/>
      <c r="U80" s="3"/>
      <c r="AW80"/>
      <c r="AX80"/>
      <c r="BJ80"/>
      <c r="BK80"/>
    </row>
    <row r="81" spans="1:63" x14ac:dyDescent="0.25">
      <c r="A81"/>
      <c r="B81" s="127"/>
      <c r="C81" s="24"/>
      <c r="D81" s="24" t="s">
        <v>183</v>
      </c>
      <c r="E81" s="24"/>
      <c r="F81" s="24"/>
      <c r="G81" s="24"/>
      <c r="H81" s="26" t="e">
        <f>(100-((H78/H79)*H80))</f>
        <v>#N/A</v>
      </c>
      <c r="I81" s="24"/>
      <c r="J81" s="24"/>
      <c r="K81" s="24"/>
      <c r="L81"/>
      <c r="M81" s="24"/>
      <c r="N81" s="24"/>
      <c r="O81" s="24"/>
      <c r="P81" s="24"/>
      <c r="Q81" s="24"/>
      <c r="R81" s="24"/>
      <c r="S81" s="121"/>
      <c r="T81" s="3"/>
      <c r="U81" s="3"/>
      <c r="AW81"/>
      <c r="AX81"/>
      <c r="BJ81"/>
      <c r="BK81"/>
    </row>
    <row r="82" spans="1:63" ht="13.8" x14ac:dyDescent="0.3">
      <c r="A82"/>
      <c r="B82" s="127"/>
      <c r="C82" s="24"/>
      <c r="D82" s="24" t="s">
        <v>184</v>
      </c>
      <c r="E82" s="24"/>
      <c r="F82" s="24"/>
      <c r="G82" s="24"/>
      <c r="H82" s="71"/>
      <c r="I82" s="24"/>
      <c r="J82" s="24"/>
      <c r="K82" s="24"/>
      <c r="L82" s="24" t="s">
        <v>137</v>
      </c>
      <c r="M82" s="24"/>
      <c r="N82" s="24"/>
      <c r="O82" s="24"/>
      <c r="P82" s="24"/>
      <c r="Q82" s="24"/>
      <c r="R82" s="24"/>
      <c r="S82" s="121"/>
      <c r="T82" s="3"/>
      <c r="U82" s="3"/>
      <c r="AW82"/>
      <c r="AX82"/>
      <c r="BJ82"/>
      <c r="BK82"/>
    </row>
    <row r="83" spans="1:63" x14ac:dyDescent="0.25">
      <c r="A83"/>
      <c r="B83" s="127"/>
      <c r="C83" s="24"/>
      <c r="D83" s="24" t="s">
        <v>166</v>
      </c>
      <c r="E83" s="24"/>
      <c r="F83" s="24"/>
      <c r="G83" s="24"/>
      <c r="H83" s="26">
        <f>(H79*62.24-H82)/(H79*62.24)*100</f>
        <v>100</v>
      </c>
      <c r="I83" s="24"/>
      <c r="J83" s="24"/>
      <c r="K83" s="24"/>
      <c r="L83" s="24" t="s">
        <v>138</v>
      </c>
      <c r="M83" s="24"/>
      <c r="N83" s="24"/>
      <c r="O83" s="24"/>
      <c r="P83" s="24" t="e">
        <f>IF(H81&lt;H83,"YES","NO")</f>
        <v>#N/A</v>
      </c>
      <c r="Q83" s="24" t="s">
        <v>142</v>
      </c>
      <c r="R83" s="24"/>
      <c r="S83" s="121"/>
      <c r="T83" s="3"/>
      <c r="U83" s="3"/>
      <c r="AW83"/>
      <c r="AX83"/>
      <c r="BJ83"/>
      <c r="BK83"/>
    </row>
    <row r="84" spans="1:63" x14ac:dyDescent="0.25">
      <c r="A84"/>
      <c r="B84" s="127"/>
      <c r="C84" s="24"/>
      <c r="D84" s="24" t="s">
        <v>240</v>
      </c>
      <c r="E84" s="24"/>
      <c r="F84" s="24"/>
      <c r="G84" s="24"/>
      <c r="H84" s="71"/>
      <c r="I84" s="97" t="s">
        <v>241</v>
      </c>
      <c r="J84" s="24"/>
      <c r="K84" s="24"/>
      <c r="L84" s="24"/>
      <c r="M84" s="24"/>
      <c r="N84" s="24"/>
      <c r="O84" s="24"/>
      <c r="P84" s="24"/>
      <c r="Q84" s="24"/>
      <c r="R84" s="24"/>
      <c r="S84" s="121"/>
      <c r="T84" s="3"/>
      <c r="U84" s="3"/>
      <c r="AW84"/>
      <c r="AX84"/>
      <c r="BJ84"/>
      <c r="BK84"/>
    </row>
    <row r="85" spans="1:63" x14ac:dyDescent="0.25">
      <c r="A85"/>
      <c r="B85" s="127"/>
      <c r="C85" s="24"/>
      <c r="D85" s="24" t="s">
        <v>196</v>
      </c>
      <c r="E85" s="24"/>
      <c r="F85" s="24"/>
      <c r="G85" s="24"/>
      <c r="H85" s="135"/>
      <c r="I85" s="73" t="s">
        <v>197</v>
      </c>
      <c r="J85" s="24"/>
      <c r="K85" s="24"/>
      <c r="L85" s="24"/>
      <c r="M85" s="24"/>
      <c r="N85" s="24"/>
      <c r="O85" s="24"/>
      <c r="P85" s="24"/>
      <c r="Q85" s="24"/>
      <c r="R85" s="24"/>
      <c r="S85" s="121"/>
      <c r="T85" s="3"/>
      <c r="U85" s="3"/>
      <c r="AW85"/>
      <c r="AX85"/>
      <c r="BJ85"/>
      <c r="BK85"/>
    </row>
    <row r="86" spans="1:63" x14ac:dyDescent="0.25">
      <c r="A86"/>
      <c r="B86" s="127"/>
      <c r="C86" s="24"/>
      <c r="D86" s="24" t="s">
        <v>200</v>
      </c>
      <c r="E86" s="24"/>
      <c r="F86" s="24"/>
      <c r="G86" s="24"/>
      <c r="H86" s="33"/>
      <c r="I86" s="73" t="s">
        <v>201</v>
      </c>
      <c r="J86" s="24"/>
      <c r="K86" s="24"/>
      <c r="L86" s="24"/>
      <c r="M86" s="24"/>
      <c r="N86" s="24"/>
      <c r="O86" s="24"/>
      <c r="P86" s="24"/>
      <c r="Q86" s="24"/>
      <c r="R86" s="24"/>
      <c r="S86" s="121"/>
      <c r="T86" s="3"/>
      <c r="U86" s="3"/>
      <c r="AW86"/>
      <c r="AX86"/>
      <c r="BJ86"/>
      <c r="BK86"/>
    </row>
    <row r="87" spans="1:63" ht="13.8" thickBot="1" x14ac:dyDescent="0.3">
      <c r="A87"/>
      <c r="B87" s="125"/>
      <c r="C87" s="44"/>
      <c r="D87" s="44" t="s">
        <v>202</v>
      </c>
      <c r="E87" s="44"/>
      <c r="F87" s="44"/>
      <c r="G87" s="44"/>
      <c r="H87" s="60"/>
      <c r="I87" s="74" t="s">
        <v>203</v>
      </c>
      <c r="J87" s="44"/>
      <c r="K87" s="44"/>
      <c r="L87" s="44"/>
      <c r="M87" s="44"/>
      <c r="N87" s="44"/>
      <c r="O87" s="44"/>
      <c r="P87" s="124"/>
      <c r="Q87" s="44"/>
      <c r="R87" s="44"/>
      <c r="S87" s="126"/>
      <c r="T87" s="3"/>
      <c r="U87" s="3"/>
      <c r="AW87"/>
      <c r="AX87"/>
      <c r="BJ87"/>
      <c r="BK87"/>
    </row>
    <row r="88" spans="1:63" x14ac:dyDescent="0.25">
      <c r="A88"/>
      <c r="B88" s="21"/>
      <c r="C88" s="22"/>
      <c r="D88" s="22"/>
      <c r="E88" s="22"/>
      <c r="F88" s="50"/>
      <c r="G88" s="50" t="s">
        <v>49</v>
      </c>
      <c r="H88" s="50"/>
      <c r="I88" s="50" t="s">
        <v>47</v>
      </c>
      <c r="J88" s="50"/>
      <c r="K88" s="50"/>
      <c r="L88" s="50"/>
      <c r="M88" s="50"/>
      <c r="N88"/>
      <c r="O88"/>
      <c r="P88" s="50" t="s">
        <v>46</v>
      </c>
      <c r="Q88" s="50"/>
      <c r="R88" s="23">
        <v>41795</v>
      </c>
      <c r="S88" s="121"/>
      <c r="T88" s="3"/>
      <c r="U88" s="3"/>
      <c r="AW88"/>
      <c r="AX88"/>
      <c r="BJ88"/>
      <c r="BK88"/>
    </row>
    <row r="89" spans="1:63" ht="13.8" thickBot="1" x14ac:dyDescent="0.3">
      <c r="A89"/>
      <c r="B89" s="140" t="s">
        <v>45</v>
      </c>
      <c r="C89" s="141"/>
      <c r="D89" s="141"/>
      <c r="E89" s="141"/>
      <c r="F89" s="124"/>
      <c r="G89" s="124"/>
      <c r="H89" s="124"/>
      <c r="I89" s="124" t="s">
        <v>48</v>
      </c>
      <c r="J89" s="124"/>
      <c r="K89" s="124"/>
      <c r="L89" s="44" t="s">
        <v>161</v>
      </c>
      <c r="M89" s="124"/>
      <c r="N89" s="99"/>
      <c r="O89" s="99"/>
      <c r="P89" s="124" t="str">
        <f>P43</f>
        <v>CDOT Form #429   05/18</v>
      </c>
      <c r="Q89" s="124"/>
      <c r="R89" s="44"/>
      <c r="S89" s="126"/>
      <c r="T89" s="3"/>
      <c r="U89" s="3"/>
      <c r="AW89"/>
      <c r="AX89"/>
      <c r="BJ89"/>
      <c r="BK89"/>
    </row>
    <row r="90" spans="1:63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BJ90"/>
      <c r="BK90"/>
    </row>
    <row r="91" spans="1:63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BJ91"/>
      <c r="BK91"/>
    </row>
    <row r="92" spans="1:63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BJ92"/>
      <c r="BK92"/>
    </row>
    <row r="93" spans="1:63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BJ93"/>
      <c r="BK93"/>
    </row>
    <row r="94" spans="1:63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BJ94"/>
      <c r="BK94"/>
    </row>
    <row r="95" spans="1:63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BJ95"/>
      <c r="BK95"/>
    </row>
    <row r="96" spans="1:63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BJ96"/>
      <c r="BK96"/>
    </row>
    <row r="97" spans="1:63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BJ97"/>
      <c r="BK97"/>
    </row>
    <row r="98" spans="1:63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BJ98"/>
      <c r="BK98"/>
    </row>
    <row r="99" spans="1:63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BJ99"/>
      <c r="BK99"/>
    </row>
    <row r="100" spans="1:6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BJ100"/>
      <c r="BK100"/>
    </row>
    <row r="101" spans="1:6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BJ101"/>
      <c r="BK101"/>
    </row>
    <row r="102" spans="1:6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BJ102"/>
      <c r="BK102"/>
    </row>
    <row r="103" spans="1:6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BJ103"/>
      <c r="BK103"/>
    </row>
    <row r="104" spans="1:6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BJ104"/>
      <c r="BK104"/>
    </row>
    <row r="105" spans="1:6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BJ105"/>
      <c r="BK105"/>
    </row>
    <row r="106" spans="1:6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BJ106"/>
      <c r="BK106"/>
    </row>
    <row r="107" spans="1:6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BJ107"/>
      <c r="BK107"/>
    </row>
    <row r="108" spans="1:6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BJ108"/>
      <c r="BK108"/>
    </row>
    <row r="109" spans="1:6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BJ109"/>
      <c r="BK109"/>
    </row>
    <row r="110" spans="1:6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BJ110"/>
      <c r="BK110"/>
    </row>
    <row r="111" spans="1:6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BJ111"/>
      <c r="BK111"/>
    </row>
    <row r="112" spans="1:6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BJ112"/>
      <c r="BK112"/>
    </row>
    <row r="113" spans="1:6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BJ113"/>
      <c r="BK113"/>
    </row>
    <row r="114" spans="1:6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BJ114"/>
      <c r="BK114"/>
    </row>
    <row r="115" spans="1:6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BJ115"/>
      <c r="BK115"/>
    </row>
    <row r="116" spans="1:6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BJ116"/>
      <c r="BK116"/>
    </row>
    <row r="117" spans="1:6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BJ117"/>
      <c r="BK117"/>
    </row>
    <row r="118" spans="1:6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BJ118"/>
      <c r="BK118"/>
    </row>
    <row r="119" spans="1:6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BJ119"/>
      <c r="BK119"/>
    </row>
    <row r="120" spans="1:6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BJ120"/>
      <c r="BK120"/>
    </row>
    <row r="121" spans="1:6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BJ121"/>
      <c r="BK121"/>
    </row>
    <row r="122" spans="1:6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BJ122"/>
      <c r="BK122"/>
    </row>
    <row r="123" spans="1:6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BJ123"/>
      <c r="BK123"/>
    </row>
    <row r="124" spans="1:6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BJ124"/>
      <c r="BK124"/>
    </row>
    <row r="125" spans="1:6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BJ125"/>
      <c r="BK125"/>
    </row>
    <row r="126" spans="1:6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BJ126"/>
      <c r="BK126"/>
    </row>
    <row r="127" spans="1:6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BJ127"/>
      <c r="BK127"/>
    </row>
    <row r="128" spans="1:6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BJ128"/>
      <c r="BK128"/>
    </row>
    <row r="129" spans="1:6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BJ129"/>
      <c r="BK129"/>
    </row>
    <row r="130" spans="1:63" x14ac:dyDescent="0.25">
      <c r="A130"/>
      <c r="B130"/>
      <c r="C130"/>
      <c r="D130"/>
      <c r="E130" s="24"/>
      <c r="F130"/>
      <c r="G130"/>
      <c r="H130"/>
      <c r="I130"/>
      <c r="J130"/>
      <c r="K130"/>
      <c r="L130"/>
      <c r="M130"/>
      <c r="N130"/>
      <c r="O130"/>
      <c r="P130" s="5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BJ130"/>
      <c r="BK130"/>
    </row>
    <row r="131" spans="1:63" x14ac:dyDescent="0.25">
      <c r="A131"/>
      <c r="B131"/>
      <c r="C131"/>
      <c r="D131"/>
      <c r="E131" s="24" t="str">
        <f>B1</f>
        <v>Earth Engineering</v>
      </c>
      <c r="F131"/>
      <c r="G131"/>
      <c r="H131"/>
      <c r="I131"/>
      <c r="J131"/>
      <c r="K131"/>
      <c r="L131"/>
      <c r="M131"/>
      <c r="N131"/>
      <c r="O131"/>
      <c r="P131" s="50" t="str">
        <f>P43</f>
        <v>CDOT Form #429   05/18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BJ131"/>
      <c r="BK131"/>
    </row>
    <row r="132" spans="1:63" x14ac:dyDescent="0.25">
      <c r="A132"/>
      <c r="B132"/>
      <c r="C132"/>
      <c r="D132"/>
      <c r="E132" s="24" t="str">
        <f>P1</f>
        <v>Lab Mix No.:</v>
      </c>
      <c r="F132"/>
      <c r="G132" s="24" t="str">
        <f>R1</f>
        <v>ABC</v>
      </c>
      <c r="H132"/>
      <c r="I132"/>
      <c r="J132"/>
      <c r="K132"/>
      <c r="L132" s="24" t="s">
        <v>185</v>
      </c>
      <c r="M132"/>
      <c r="N132"/>
      <c r="O132"/>
      <c r="P132" s="5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BJ132"/>
      <c r="BK132"/>
    </row>
    <row r="133" spans="1:6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BJ133"/>
      <c r="BK133"/>
    </row>
    <row r="134" spans="1:6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BJ134"/>
      <c r="BK134"/>
    </row>
    <row r="135" spans="1:6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BJ135"/>
      <c r="BK135"/>
    </row>
    <row r="136" spans="1:6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BJ136"/>
      <c r="BK136"/>
    </row>
    <row r="137" spans="1:6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BJ137"/>
      <c r="BK137"/>
    </row>
    <row r="138" spans="1:6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BJ138"/>
      <c r="BK138"/>
    </row>
    <row r="139" spans="1:63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BJ139"/>
      <c r="BK139"/>
    </row>
    <row r="140" spans="1:6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BJ140"/>
      <c r="BK140"/>
    </row>
    <row r="141" spans="1:6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BJ141"/>
      <c r="BK141"/>
    </row>
    <row r="142" spans="1:6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BJ142"/>
      <c r="BK142"/>
    </row>
    <row r="143" spans="1:6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BJ143"/>
      <c r="BK143"/>
    </row>
    <row r="144" spans="1:6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BJ144"/>
      <c r="BK144"/>
    </row>
    <row r="145" spans="1:63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BJ145"/>
      <c r="BK145"/>
    </row>
    <row r="146" spans="1:6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BJ146"/>
      <c r="BK146"/>
    </row>
    <row r="147" spans="1:6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BJ147"/>
      <c r="BK147"/>
    </row>
    <row r="148" spans="1:63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BJ148"/>
      <c r="BK148"/>
    </row>
    <row r="149" spans="1:63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BJ149"/>
      <c r="BK149"/>
    </row>
    <row r="150" spans="1:63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BJ150"/>
      <c r="BK150"/>
    </row>
    <row r="151" spans="1:63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BJ151"/>
      <c r="BK151"/>
    </row>
    <row r="152" spans="1:63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BJ152"/>
      <c r="BK152"/>
    </row>
    <row r="153" spans="1:63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BJ153"/>
      <c r="BK153"/>
    </row>
    <row r="154" spans="1:63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BJ154"/>
      <c r="BK154"/>
    </row>
    <row r="155" spans="1:63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BJ155"/>
      <c r="BK155"/>
    </row>
    <row r="156" spans="1:63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BJ156"/>
      <c r="BK156"/>
    </row>
    <row r="157" spans="1:63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BJ157"/>
      <c r="BK157"/>
    </row>
    <row r="158" spans="1:63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BJ158"/>
      <c r="BK158"/>
    </row>
    <row r="159" spans="1:63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BJ159"/>
      <c r="BK159"/>
    </row>
    <row r="160" spans="1:63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BJ160"/>
      <c r="BK160"/>
    </row>
    <row r="161" spans="1:6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BJ161"/>
      <c r="BK161"/>
    </row>
    <row r="162" spans="1:6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BJ162"/>
      <c r="BK162"/>
    </row>
    <row r="163" spans="1:6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BJ163"/>
      <c r="BK163"/>
    </row>
    <row r="164" spans="1:6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BJ164"/>
      <c r="BK164"/>
    </row>
    <row r="165" spans="1:6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BJ165"/>
      <c r="BK165"/>
    </row>
    <row r="166" spans="1:6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BJ166"/>
      <c r="BK166"/>
    </row>
    <row r="167" spans="1:6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BJ167"/>
      <c r="BK167"/>
    </row>
    <row r="168" spans="1:6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BJ168"/>
      <c r="BK168"/>
    </row>
    <row r="169" spans="1:6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BJ169"/>
      <c r="BK169"/>
    </row>
    <row r="170" spans="1:6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BJ170"/>
      <c r="BK170"/>
    </row>
    <row r="171" spans="1:63" x14ac:dyDescent="0.25">
      <c r="A171"/>
      <c r="B171"/>
      <c r="C171"/>
      <c r="D171"/>
      <c r="E171" s="24"/>
      <c r="F171"/>
      <c r="G171" s="24"/>
      <c r="H171"/>
      <c r="I171"/>
      <c r="J171"/>
      <c r="K171"/>
      <c r="L171" s="24"/>
      <c r="M171"/>
      <c r="N171"/>
      <c r="O171"/>
      <c r="P171" s="5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BJ171"/>
      <c r="BK171"/>
    </row>
    <row r="172" spans="1:63" x14ac:dyDescent="0.25">
      <c r="A172"/>
      <c r="B172"/>
      <c r="C172"/>
      <c r="D172"/>
      <c r="E172" s="24"/>
      <c r="F172"/>
      <c r="G172" s="24"/>
      <c r="H172"/>
      <c r="I172"/>
      <c r="J172"/>
      <c r="K172"/>
      <c r="L172" s="24"/>
      <c r="M172"/>
      <c r="N172"/>
      <c r="O172"/>
      <c r="P172" s="5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BJ172"/>
      <c r="BK172"/>
    </row>
    <row r="173" spans="1:63" x14ac:dyDescent="0.25">
      <c r="A173"/>
      <c r="B173"/>
      <c r="C173"/>
      <c r="D173"/>
      <c r="E173" s="24"/>
      <c r="F173"/>
      <c r="G173" s="24"/>
      <c r="H173"/>
      <c r="I173"/>
      <c r="J173"/>
      <c r="K173"/>
      <c r="L173" s="24"/>
      <c r="M173"/>
      <c r="N173"/>
      <c r="O173"/>
      <c r="P173" s="5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BJ173"/>
      <c r="BK173"/>
    </row>
    <row r="174" spans="1:63" x14ac:dyDescent="0.25">
      <c r="A174"/>
      <c r="B174"/>
      <c r="C174"/>
      <c r="D174"/>
      <c r="E174" s="24" t="str">
        <f>B1</f>
        <v>Earth Engineering</v>
      </c>
      <c r="F174"/>
      <c r="G174"/>
      <c r="H174"/>
      <c r="I174"/>
      <c r="J174"/>
      <c r="K174"/>
      <c r="L174"/>
      <c r="M174"/>
      <c r="N174"/>
      <c r="O174"/>
      <c r="P174" s="50" t="str">
        <f>P43</f>
        <v>CDOT Form #429   05/18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BJ174"/>
      <c r="BK174"/>
    </row>
    <row r="175" spans="1:63" x14ac:dyDescent="0.25">
      <c r="A175"/>
      <c r="B175"/>
      <c r="C175"/>
      <c r="D175"/>
      <c r="E175" s="24" t="str">
        <f>P1</f>
        <v>Lab Mix No.:</v>
      </c>
      <c r="F175"/>
      <c r="G175" s="24" t="str">
        <f>R1</f>
        <v>ABC</v>
      </c>
      <c r="H175"/>
      <c r="I175"/>
      <c r="J175"/>
      <c r="K175"/>
      <c r="L175" s="24" t="s">
        <v>189</v>
      </c>
      <c r="M175"/>
      <c r="N175"/>
      <c r="O175"/>
      <c r="P175" s="5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BJ175"/>
      <c r="BK175"/>
    </row>
    <row r="176" spans="1:6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BJ176"/>
      <c r="BK176"/>
    </row>
    <row r="177" spans="1:6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BJ177"/>
      <c r="BK177"/>
    </row>
    <row r="178" spans="1:6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BJ178"/>
      <c r="BK178"/>
    </row>
    <row r="179" spans="1:6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BJ179"/>
      <c r="BK179"/>
    </row>
    <row r="180" spans="1:6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BJ180"/>
      <c r="BK180"/>
    </row>
    <row r="181" spans="1:6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BJ181"/>
      <c r="BK181"/>
    </row>
    <row r="182" spans="1:6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BJ182"/>
      <c r="BK182"/>
    </row>
    <row r="183" spans="1:6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BJ183"/>
      <c r="BK183"/>
    </row>
    <row r="184" spans="1:6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BJ184"/>
      <c r="BK184"/>
    </row>
    <row r="185" spans="1:6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BJ185"/>
      <c r="BK185"/>
    </row>
    <row r="186" spans="1:6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BJ186"/>
      <c r="BK186"/>
    </row>
    <row r="187" spans="1:6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BJ187"/>
      <c r="BK187"/>
    </row>
    <row r="188" spans="1:6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BJ188"/>
      <c r="BK188"/>
    </row>
    <row r="189" spans="1:6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BJ189"/>
      <c r="BK189"/>
    </row>
    <row r="190" spans="1:6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BJ190"/>
      <c r="BK190"/>
    </row>
    <row r="191" spans="1:6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BJ191"/>
      <c r="BK191"/>
    </row>
    <row r="192" spans="1:6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BJ192"/>
      <c r="BK192"/>
    </row>
    <row r="193" spans="1:6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BJ193"/>
      <c r="BK193"/>
    </row>
    <row r="194" spans="1:6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BJ194"/>
      <c r="BK194"/>
    </row>
    <row r="195" spans="1:6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BJ195"/>
      <c r="BK195"/>
    </row>
    <row r="196" spans="1:6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BJ196"/>
      <c r="BK196"/>
    </row>
    <row r="197" spans="1:6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BJ197"/>
      <c r="BK197"/>
    </row>
    <row r="198" spans="1:6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BJ198"/>
      <c r="BK198"/>
    </row>
    <row r="199" spans="1:6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BJ199"/>
      <c r="BK199"/>
    </row>
    <row r="200" spans="1:6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BJ200"/>
      <c r="BK200"/>
    </row>
    <row r="201" spans="1:6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BJ201"/>
      <c r="BK201"/>
    </row>
    <row r="202" spans="1:6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BJ202"/>
      <c r="BK202"/>
    </row>
    <row r="203" spans="1:6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BJ203"/>
      <c r="BK203"/>
    </row>
    <row r="204" spans="1:6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BJ204"/>
      <c r="BK204"/>
    </row>
    <row r="205" spans="1:6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BJ205"/>
      <c r="BK205"/>
    </row>
    <row r="206" spans="1:6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BJ206"/>
      <c r="BK206"/>
    </row>
    <row r="207" spans="1:6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BJ207"/>
      <c r="BK207"/>
    </row>
    <row r="208" spans="1:63" x14ac:dyDescent="0.25">
      <c r="A208"/>
      <c r="B208"/>
      <c r="C208"/>
      <c r="D208"/>
      <c r="E208" s="24" t="str">
        <f>B1</f>
        <v>Earth Engineering</v>
      </c>
      <c r="F208"/>
      <c r="G208"/>
      <c r="H208"/>
      <c r="I208"/>
      <c r="J208"/>
      <c r="K208"/>
      <c r="L208"/>
      <c r="M208"/>
      <c r="N208"/>
      <c r="O208"/>
      <c r="P208" s="50" t="str">
        <f>P43</f>
        <v>CDOT Form #429   05/18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BJ208"/>
      <c r="BK208"/>
    </row>
    <row r="209" spans="1:63" x14ac:dyDescent="0.25">
      <c r="A209"/>
      <c r="B209"/>
      <c r="C209"/>
      <c r="D209"/>
      <c r="E209" s="24" t="str">
        <f>P1</f>
        <v>Lab Mix No.:</v>
      </c>
      <c r="F209"/>
      <c r="G209" s="24" t="str">
        <f>R1</f>
        <v>ABC</v>
      </c>
      <c r="H209"/>
      <c r="I209"/>
      <c r="J209"/>
      <c r="K209"/>
      <c r="L209" s="24" t="s">
        <v>188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BJ209"/>
      <c r="BK209"/>
    </row>
    <row r="210" spans="1:6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BJ210"/>
      <c r="BK210"/>
    </row>
    <row r="211" spans="1:6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BJ211"/>
      <c r="BK211"/>
    </row>
    <row r="212" spans="1:6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BJ212"/>
      <c r="BK212"/>
    </row>
    <row r="213" spans="1:6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BJ213"/>
      <c r="BK213"/>
    </row>
    <row r="214" spans="1:6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BJ214"/>
      <c r="BK214"/>
    </row>
    <row r="215" spans="1:6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BJ215"/>
      <c r="BK215"/>
    </row>
    <row r="216" spans="1:6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BJ216"/>
      <c r="BK216"/>
    </row>
    <row r="217" spans="1:63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BJ217"/>
      <c r="BK217"/>
    </row>
    <row r="218" spans="1:63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BJ218"/>
      <c r="BK218"/>
    </row>
    <row r="219" spans="1:6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BJ219"/>
      <c r="BK219"/>
    </row>
    <row r="220" spans="1:6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BJ220"/>
      <c r="BK220"/>
    </row>
    <row r="221" spans="1:6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BJ221"/>
      <c r="BK221"/>
    </row>
    <row r="222" spans="1:6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BJ222"/>
      <c r="BK222"/>
    </row>
    <row r="223" spans="1:6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BJ223"/>
      <c r="BK223"/>
    </row>
    <row r="224" spans="1:6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BJ224"/>
      <c r="BK224"/>
    </row>
    <row r="225" spans="1:6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BJ225"/>
      <c r="BK225"/>
    </row>
    <row r="226" spans="1:6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BJ226"/>
      <c r="BK226"/>
    </row>
    <row r="227" spans="1:63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BJ227"/>
      <c r="BK227"/>
    </row>
    <row r="228" spans="1:6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BJ228"/>
      <c r="BK228"/>
    </row>
    <row r="229" spans="1:6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BJ229"/>
      <c r="BK229"/>
    </row>
    <row r="230" spans="1:6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BJ230"/>
      <c r="BK230"/>
    </row>
    <row r="231" spans="1:6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BJ231"/>
      <c r="BK231"/>
    </row>
    <row r="232" spans="1:6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BJ232"/>
      <c r="BK232"/>
    </row>
    <row r="233" spans="1:6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BJ233"/>
      <c r="BK233"/>
    </row>
    <row r="234" spans="1:6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BJ234"/>
      <c r="BK234"/>
    </row>
    <row r="235" spans="1:6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BJ235"/>
      <c r="BK235"/>
    </row>
    <row r="236" spans="1:6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BJ236"/>
      <c r="BK236"/>
    </row>
    <row r="237" spans="1:6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BJ237"/>
      <c r="BK237"/>
    </row>
    <row r="238" spans="1:6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BJ238"/>
      <c r="BK238"/>
    </row>
    <row r="239" spans="1:6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BJ239"/>
      <c r="BK239"/>
    </row>
    <row r="240" spans="1:63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BJ240"/>
      <c r="BK240"/>
    </row>
    <row r="241" spans="1:6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BJ241"/>
      <c r="BK241"/>
    </row>
    <row r="242" spans="1:6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BJ242"/>
      <c r="BK242"/>
    </row>
    <row r="243" spans="1:63" x14ac:dyDescent="0.25">
      <c r="A243"/>
      <c r="B243"/>
      <c r="C243"/>
      <c r="D243"/>
      <c r="E243" s="97"/>
      <c r="F243" s="24"/>
      <c r="G243" s="52"/>
      <c r="H243" s="24"/>
      <c r="I243" s="24"/>
      <c r="J243" s="24"/>
      <c r="K243" s="24"/>
      <c r="L243" s="24"/>
      <c r="M243"/>
      <c r="N243" s="24"/>
      <c r="O243" s="24"/>
      <c r="P243"/>
      <c r="Q243" s="24"/>
      <c r="R243" s="24" t="s">
        <v>22</v>
      </c>
      <c r="S243" s="24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BJ243"/>
      <c r="BK243"/>
    </row>
    <row r="244" spans="1:63" x14ac:dyDescent="0.25">
      <c r="A244"/>
      <c r="B244"/>
      <c r="C244"/>
      <c r="D244"/>
      <c r="E244" s="97"/>
      <c r="F244" s="24"/>
      <c r="G244" s="52"/>
      <c r="H244" s="24"/>
      <c r="I244" s="24"/>
      <c r="J244" s="24"/>
      <c r="K244" s="24"/>
      <c r="L244" s="24"/>
      <c r="M244"/>
      <c r="N244" s="24"/>
      <c r="O244" s="24"/>
      <c r="P244"/>
      <c r="Q244" s="24"/>
      <c r="R244" s="24"/>
      <c r="S244" s="2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BJ244"/>
      <c r="BK244"/>
    </row>
    <row r="245" spans="1:63" x14ac:dyDescent="0.25">
      <c r="A245"/>
      <c r="B245"/>
      <c r="C245"/>
      <c r="D245"/>
      <c r="E245" s="97"/>
      <c r="F245" s="24"/>
      <c r="G245" s="52"/>
      <c r="H245" s="24"/>
      <c r="I245" s="24"/>
      <c r="J245" s="24"/>
      <c r="K245" s="24"/>
      <c r="L245" s="24"/>
      <c r="M245"/>
      <c r="N245" s="24"/>
      <c r="O245" s="24"/>
      <c r="P245"/>
      <c r="Q245" s="24"/>
      <c r="R245" s="24"/>
      <c r="S245" s="24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BJ245"/>
      <c r="BK245"/>
    </row>
    <row r="246" spans="1:63" x14ac:dyDescent="0.25">
      <c r="A246"/>
      <c r="B246"/>
      <c r="C246"/>
      <c r="D246"/>
      <c r="E246" s="97"/>
      <c r="F246" s="24"/>
      <c r="G246" s="52"/>
      <c r="H246" s="24"/>
      <c r="I246" s="24"/>
      <c r="J246" s="24"/>
      <c r="K246" s="24"/>
      <c r="L246" s="24"/>
      <c r="M246"/>
      <c r="N246" s="24"/>
      <c r="O246" s="24"/>
      <c r="P246"/>
      <c r="Q246" s="24"/>
      <c r="R246" s="24"/>
      <c r="S246" s="24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BJ246"/>
      <c r="BK246"/>
    </row>
    <row r="247" spans="1:63" x14ac:dyDescent="0.25">
      <c r="A247"/>
      <c r="B247"/>
      <c r="C247"/>
      <c r="D247"/>
      <c r="E247" s="97"/>
      <c r="F247" s="24"/>
      <c r="G247" s="52"/>
      <c r="H247" s="24"/>
      <c r="I247" s="24"/>
      <c r="J247" s="24"/>
      <c r="K247" s="24"/>
      <c r="L247" s="24"/>
      <c r="M247"/>
      <c r="N247" s="24"/>
      <c r="O247" s="24"/>
      <c r="P247"/>
      <c r="Q247" s="24"/>
      <c r="R247" s="24"/>
      <c r="S247" s="24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BJ247"/>
      <c r="BK247"/>
    </row>
    <row r="248" spans="1:63" x14ac:dyDescent="0.25">
      <c r="A248"/>
      <c r="B248"/>
      <c r="C248"/>
      <c r="D248"/>
      <c r="E248" s="97"/>
      <c r="F248" s="24"/>
      <c r="G248" s="52"/>
      <c r="H248" s="24"/>
      <c r="I248" s="24"/>
      <c r="J248" s="24"/>
      <c r="K248" s="24"/>
      <c r="L248" s="24"/>
      <c r="M248"/>
      <c r="N248" s="24"/>
      <c r="O248" s="24"/>
      <c r="P248"/>
      <c r="Q248" s="24"/>
      <c r="R248" s="24"/>
      <c r="S248" s="24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BJ248"/>
      <c r="BK248"/>
    </row>
    <row r="249" spans="1:6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BJ249"/>
      <c r="BK249"/>
    </row>
    <row r="250" spans="1:63" ht="21" x14ac:dyDescent="0.4">
      <c r="A250"/>
      <c r="B250"/>
      <c r="C250"/>
      <c r="D250" s="24" t="str">
        <f>B1</f>
        <v>Earth Engineering</v>
      </c>
      <c r="E250"/>
      <c r="F250"/>
      <c r="G250"/>
      <c r="H250" s="133" t="s">
        <v>68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BJ250"/>
      <c r="BK250"/>
    </row>
    <row r="251" spans="1:63" x14ac:dyDescent="0.25">
      <c r="A251"/>
      <c r="B251"/>
      <c r="C251"/>
      <c r="D251" s="24" t="str">
        <f>P1</f>
        <v>Lab Mix No.:</v>
      </c>
      <c r="E251"/>
      <c r="F251" s="24" t="str">
        <f>R1</f>
        <v>ABC</v>
      </c>
      <c r="G251"/>
      <c r="H251"/>
      <c r="I251"/>
      <c r="J251"/>
      <c r="K251"/>
      <c r="L251" s="24" t="s">
        <v>187</v>
      </c>
      <c r="M251"/>
      <c r="N251"/>
      <c r="O251"/>
      <c r="P251" s="50" t="str">
        <f>P43</f>
        <v>CDOT Form #429   05/18</v>
      </c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BJ251"/>
      <c r="BK251"/>
    </row>
  </sheetData>
  <sheetProtection algorithmName="SHA-512" hashValue="65c7z0pWH7F3CaqJxio/fL8c1z4HbJxBAeAy6kMsT/yz+rSBlmth7ZXAvhlZYlfAUMI2c6HWiA8XPSRJtvIq9g==" saltValue="+YQ7RJxEcGPK/EO6E+oO8g==" spinCount="100000" sheet="1" objects="1" scenarios="1"/>
  <dataConsolidate/>
  <mergeCells count="17">
    <mergeCell ref="B1:H1"/>
    <mergeCell ref="J3:L3"/>
    <mergeCell ref="G6:H6"/>
    <mergeCell ref="G7:H7"/>
    <mergeCell ref="R7:S7"/>
    <mergeCell ref="B45:H45"/>
    <mergeCell ref="AI38:AJ38"/>
    <mergeCell ref="AK38:AL38"/>
    <mergeCell ref="AM38:AN38"/>
    <mergeCell ref="AO38:AP38"/>
    <mergeCell ref="F10:L10"/>
    <mergeCell ref="N10:P10"/>
    <mergeCell ref="AU38:AV38"/>
    <mergeCell ref="AW38:AX38"/>
    <mergeCell ref="BJ38:BK38"/>
    <mergeCell ref="AQ38:AR38"/>
    <mergeCell ref="AS38:AT38"/>
  </mergeCells>
  <conditionalFormatting sqref="R29">
    <cfRule type="containsText" dxfId="31" priority="16" operator="containsText" text="#N/A">
      <formula>NOT(ISERROR(SEARCH("#N/A",R29)))</formula>
    </cfRule>
  </conditionalFormatting>
  <conditionalFormatting sqref="R17:S28">
    <cfRule type="containsErrors" dxfId="30" priority="15">
      <formula>ISERROR(R17)</formula>
    </cfRule>
  </conditionalFormatting>
  <conditionalFormatting sqref="P83:P87">
    <cfRule type="containsText" dxfId="29" priority="13" operator="containsText" text="YES">
      <formula>NOT(ISERROR(SEARCH("YES",P83)))</formula>
    </cfRule>
    <cfRule type="containsText" dxfId="28" priority="14" operator="containsText" text="NO">
      <formula>NOT(ISERROR(SEARCH("NO",P83)))</formula>
    </cfRule>
  </conditionalFormatting>
  <conditionalFormatting sqref="H65:N65 P65:R65">
    <cfRule type="containsErrors" dxfId="27" priority="12">
      <formula>ISERROR(H65)</formula>
    </cfRule>
  </conditionalFormatting>
  <conditionalFormatting sqref="O63">
    <cfRule type="containsErrors" dxfId="26" priority="11">
      <formula>ISERROR(O63)</formula>
    </cfRule>
  </conditionalFormatting>
  <conditionalFormatting sqref="R65">
    <cfRule type="cellIs" dxfId="25" priority="1" operator="between">
      <formula>23.1</formula>
      <formula>30.1</formula>
    </cfRule>
    <cfRule type="cellIs" dxfId="24" priority="2" operator="lessThan">
      <formula>30.1</formula>
    </cfRule>
    <cfRule type="cellIs" dxfId="23" priority="3" operator="greaterThan">
      <formula>30.1</formula>
    </cfRule>
    <cfRule type="cellIs" dxfId="22" priority="4" operator="between">
      <formula>23.00001</formula>
      <formula>30.00001</formula>
    </cfRule>
    <cfRule type="cellIs" dxfId="21" priority="5" operator="lessThan">
      <formula>30.00001</formula>
    </cfRule>
    <cfRule type="cellIs" dxfId="20" priority="6" operator="greaterThan">
      <formula>30</formula>
    </cfRule>
    <cfRule type="cellIs" dxfId="19" priority="9" operator="greaterThan">
      <formula>30.1</formula>
    </cfRule>
    <cfRule type="cellIs" dxfId="18" priority="10" operator="between">
      <formula>0</formula>
      <formula>30</formula>
    </cfRule>
  </conditionalFormatting>
  <conditionalFormatting sqref="O65">
    <cfRule type="containsErrors" dxfId="17" priority="8">
      <formula>ISERROR(O65)</formula>
    </cfRule>
  </conditionalFormatting>
  <conditionalFormatting sqref="S65">
    <cfRule type="containsErrors" dxfId="16" priority="7">
      <formula>ISERROR(S65)</formula>
    </cfRule>
  </conditionalFormatting>
  <dataValidations disablePrompts="1" count="8">
    <dataValidation type="list" allowBlank="1" showInputMessage="1" showErrorMessage="1" sqref="J6:K6" xr:uid="{00000000-0002-0000-0100-000000000000}">
      <formula1>$Y$19:$Y$27</formula1>
    </dataValidation>
    <dataValidation type="list" allowBlank="1" showInputMessage="1" showErrorMessage="1" sqref="P6" xr:uid="{00000000-0002-0000-0100-000001000000}">
      <formula1>$Z$18:$Z$22</formula1>
    </dataValidation>
    <dataValidation type="list" allowBlank="1" showInputMessage="1" showErrorMessage="1" sqref="R3" xr:uid="{00000000-0002-0000-0100-000002000000}">
      <formula1>$AA$19:$AA$25</formula1>
    </dataValidation>
    <dataValidation type="list" allowBlank="1" showInputMessage="1" showErrorMessage="1" sqref="N6" xr:uid="{00000000-0002-0000-0100-000003000000}">
      <formula1>$AC$19:$AC$23</formula1>
    </dataValidation>
    <dataValidation type="list" allowBlank="1" showInputMessage="1" showErrorMessage="1" sqref="M7" xr:uid="{00000000-0002-0000-0100-000004000000}">
      <formula1>$AB$19:$AB$24</formula1>
    </dataValidation>
    <dataValidation type="list" allowBlank="1" showInputMessage="1" showErrorMessage="1" sqref="Q78" xr:uid="{00000000-0002-0000-0100-000005000000}">
      <formula1>$C$17:$C$28</formula1>
    </dataValidation>
    <dataValidation type="list" allowBlank="1" showInputMessage="1" showErrorMessage="1" sqref="S37" xr:uid="{00000000-0002-0000-0100-000006000000}">
      <formula1>$V$40:$V$42</formula1>
    </dataValidation>
    <dataValidation type="list" allowBlank="1" showErrorMessage="1" errorTitle="Invalid Entry!" error="Please select the type of recycled product." sqref="N11:P11" xr:uid="{00000000-0002-0000-0100-000007000000}">
      <formula1>$V$11:$V$13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17</xdr:col>
                    <xdr:colOff>60960</xdr:colOff>
                    <xdr:row>4</xdr:row>
                    <xdr:rowOff>152400</xdr:rowOff>
                  </from>
                  <to>
                    <xdr:col>17</xdr:col>
                    <xdr:colOff>495300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17</xdr:col>
                    <xdr:colOff>533400</xdr:colOff>
                    <xdr:row>4</xdr:row>
                    <xdr:rowOff>152400</xdr:rowOff>
                  </from>
                  <to>
                    <xdr:col>18</xdr:col>
                    <xdr:colOff>312420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251"/>
  <sheetViews>
    <sheetView zoomScaleNormal="100" workbookViewId="0">
      <selection activeCell="F41" sqref="F41"/>
    </sheetView>
  </sheetViews>
  <sheetFormatPr defaultColWidth="9.109375" defaultRowHeight="13.2" x14ac:dyDescent="0.25"/>
  <cols>
    <col min="1" max="1" width="9.109375" style="4"/>
    <col min="2" max="2" width="8.44140625" style="4" customWidth="1"/>
    <col min="3" max="3" width="5.44140625" style="4" customWidth="1"/>
    <col min="4" max="4" width="5.33203125" style="4" customWidth="1"/>
    <col min="5" max="5" width="7.109375" style="4" customWidth="1"/>
    <col min="6" max="6" width="9.88671875" style="4" customWidth="1"/>
    <col min="7" max="7" width="9.109375" style="4"/>
    <col min="8" max="14" width="8.88671875" style="4" customWidth="1"/>
    <col min="15" max="16" width="9.44140625" style="4" customWidth="1"/>
    <col min="17" max="17" width="10.109375" style="4" customWidth="1"/>
    <col min="18" max="18" width="9.6640625" style="4" customWidth="1"/>
    <col min="19" max="19" width="9.109375" style="4" customWidth="1"/>
    <col min="20" max="20" width="9.109375" style="4" hidden="1" customWidth="1"/>
    <col min="21" max="21" width="11.5546875" style="4" hidden="1" customWidth="1"/>
    <col min="22" max="35" width="9.109375" style="4" hidden="1" customWidth="1"/>
    <col min="36" max="48" width="5.6640625" style="4" hidden="1" customWidth="1"/>
    <col min="49" max="50" width="4.6640625" style="4" hidden="1" customWidth="1"/>
    <col min="51" max="61" width="9.109375" style="4" hidden="1" customWidth="1"/>
    <col min="62" max="63" width="4.6640625" style="4" hidden="1" customWidth="1"/>
    <col min="64" max="16384" width="9.109375" style="4"/>
  </cols>
  <sheetData>
    <row r="1" spans="1:63" x14ac:dyDescent="0.25">
      <c r="A1"/>
      <c r="B1" s="181"/>
      <c r="C1" s="182"/>
      <c r="D1" s="183"/>
      <c r="E1" s="183"/>
      <c r="F1" s="183"/>
      <c r="G1" s="183"/>
      <c r="H1" s="183"/>
      <c r="I1" s="79"/>
      <c r="J1" s="79"/>
      <c r="K1" s="79"/>
      <c r="L1" s="79"/>
      <c r="M1" s="79"/>
      <c r="N1" s="79"/>
      <c r="O1" s="79"/>
      <c r="P1" s="80" t="s">
        <v>186</v>
      </c>
      <c r="Q1" s="81"/>
      <c r="R1" s="142"/>
      <c r="S1" s="82"/>
      <c r="T1" s="3"/>
      <c r="U1" s="3"/>
      <c r="AW1"/>
      <c r="AX1"/>
      <c r="BJ1"/>
      <c r="BK1"/>
    </row>
    <row r="2" spans="1:63" x14ac:dyDescent="0.25">
      <c r="A2"/>
      <c r="B2" s="83" t="s">
        <v>211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4"/>
      <c r="R2" s="87"/>
      <c r="S2" s="88"/>
      <c r="T2" s="3"/>
      <c r="U2" s="3"/>
      <c r="AW2"/>
      <c r="AX2"/>
      <c r="BJ2"/>
      <c r="BK2"/>
    </row>
    <row r="3" spans="1:63" x14ac:dyDescent="0.25">
      <c r="A3"/>
      <c r="B3" s="89" t="s">
        <v>236</v>
      </c>
      <c r="C3" s="50"/>
      <c r="D3" s="24"/>
      <c r="E3" s="24"/>
      <c r="F3" s="24"/>
      <c r="G3" s="24"/>
      <c r="H3" s="24" t="s">
        <v>0</v>
      </c>
      <c r="I3" s="24"/>
      <c r="J3" s="184"/>
      <c r="K3" s="184"/>
      <c r="L3" s="184"/>
      <c r="M3" s="40"/>
      <c r="N3" s="24"/>
      <c r="O3" s="24"/>
      <c r="P3"/>
      <c r="Q3" s="24" t="s">
        <v>2</v>
      </c>
      <c r="R3" s="143"/>
      <c r="S3" s="90"/>
      <c r="T3" s="3"/>
      <c r="AW3"/>
      <c r="AX3"/>
      <c r="BJ3"/>
      <c r="BK3"/>
    </row>
    <row r="4" spans="1:63" x14ac:dyDescent="0.25">
      <c r="A4"/>
      <c r="B4" s="91" t="s">
        <v>1</v>
      </c>
      <c r="C4" s="24"/>
      <c r="D4" s="24"/>
      <c r="E4" s="24"/>
      <c r="F4" s="5"/>
      <c r="G4" s="24"/>
      <c r="H4" s="24" t="s">
        <v>239</v>
      </c>
      <c r="I4" s="24"/>
      <c r="J4" s="143"/>
      <c r="K4" s="143"/>
      <c r="L4" s="143"/>
      <c r="M4" s="40"/>
      <c r="N4" s="24"/>
      <c r="O4" s="24"/>
      <c r="P4" s="24"/>
      <c r="Q4" s="24"/>
      <c r="R4" s="24"/>
      <c r="S4" s="90"/>
      <c r="T4" s="3"/>
      <c r="U4" s="3"/>
      <c r="AW4"/>
      <c r="AX4"/>
      <c r="BJ4"/>
      <c r="BK4"/>
    </row>
    <row r="5" spans="1:63" ht="13.8" thickBot="1" x14ac:dyDescent="0.3">
      <c r="A5"/>
      <c r="B5" s="91" t="s">
        <v>237</v>
      </c>
      <c r="C5" s="24"/>
      <c r="D5" s="24"/>
      <c r="E5" s="24"/>
      <c r="F5" s="5"/>
      <c r="G5" s="24"/>
      <c r="H5" s="24" t="s">
        <v>238</v>
      </c>
      <c r="I5" s="24"/>
      <c r="J5" s="143"/>
      <c r="K5" s="143"/>
      <c r="L5" s="64"/>
      <c r="M5" s="40"/>
      <c r="N5" s="44"/>
      <c r="O5" s="24"/>
      <c r="P5" s="44"/>
      <c r="Q5" s="44"/>
      <c r="R5" s="44"/>
      <c r="S5" s="92"/>
      <c r="T5" s="3"/>
      <c r="U5" s="3"/>
      <c r="AW5"/>
      <c r="AX5"/>
      <c r="BJ5"/>
      <c r="BK5"/>
    </row>
    <row r="6" spans="1:63" ht="13.8" x14ac:dyDescent="0.3">
      <c r="A6"/>
      <c r="B6" s="93" t="s">
        <v>3</v>
      </c>
      <c r="C6" s="81"/>
      <c r="D6" s="79" t="s">
        <v>4</v>
      </c>
      <c r="E6" s="79"/>
      <c r="F6" s="79"/>
      <c r="G6" s="185"/>
      <c r="H6" s="185"/>
      <c r="I6" s="79" t="s">
        <v>6</v>
      </c>
      <c r="J6" s="6"/>
      <c r="K6" s="6"/>
      <c r="L6" s="79" t="s">
        <v>100</v>
      </c>
      <c r="M6" s="72"/>
      <c r="N6" s="62"/>
      <c r="O6" s="94" t="s">
        <v>85</v>
      </c>
      <c r="P6" s="66"/>
      <c r="Q6" s="95" t="s">
        <v>170</v>
      </c>
      <c r="R6" s="96"/>
      <c r="S6" s="63"/>
      <c r="T6" s="3"/>
      <c r="U6" s="3"/>
      <c r="AW6"/>
      <c r="AX6"/>
      <c r="BJ6"/>
      <c r="BK6"/>
    </row>
    <row r="7" spans="1:63" x14ac:dyDescent="0.25">
      <c r="A7"/>
      <c r="B7" s="89"/>
      <c r="C7" s="50"/>
      <c r="D7" s="24" t="s">
        <v>5</v>
      </c>
      <c r="E7" s="24"/>
      <c r="F7" s="24"/>
      <c r="G7" s="186"/>
      <c r="H7" s="186"/>
      <c r="I7" s="24" t="s">
        <v>93</v>
      </c>
      <c r="J7" s="40"/>
      <c r="K7" s="40"/>
      <c r="L7" s="24" t="s">
        <v>91</v>
      </c>
      <c r="M7" s="40"/>
      <c r="N7" s="24" t="s">
        <v>190</v>
      </c>
      <c r="O7"/>
      <c r="P7" s="134"/>
      <c r="Q7" s="97" t="s">
        <v>171</v>
      </c>
      <c r="R7" s="187"/>
      <c r="S7" s="188"/>
      <c r="T7" s="3"/>
      <c r="U7" s="3"/>
      <c r="AW7"/>
      <c r="AX7"/>
      <c r="BJ7"/>
      <c r="BK7"/>
    </row>
    <row r="8" spans="1:63" ht="13.8" thickBot="1" x14ac:dyDescent="0.3">
      <c r="A8"/>
      <c r="B8" s="98"/>
      <c r="C8" s="44"/>
      <c r="D8" s="44" t="s">
        <v>205</v>
      </c>
      <c r="E8" s="99"/>
      <c r="F8" s="99"/>
      <c r="G8" s="99"/>
      <c r="H8" s="60"/>
      <c r="I8" s="99"/>
      <c r="J8" s="99"/>
      <c r="K8" s="99"/>
      <c r="L8" s="100" t="s">
        <v>206</v>
      </c>
      <c r="M8" s="144"/>
      <c r="N8" s="60"/>
      <c r="O8" s="60"/>
      <c r="P8" s="99"/>
      <c r="Q8" s="99"/>
      <c r="R8" s="99"/>
      <c r="S8" s="101"/>
      <c r="T8" s="3"/>
      <c r="U8" s="3"/>
      <c r="AW8"/>
      <c r="AX8"/>
      <c r="BJ8"/>
      <c r="BK8"/>
    </row>
    <row r="9" spans="1:63" x14ac:dyDescent="0.25">
      <c r="A9"/>
      <c r="B9" s="89" t="s">
        <v>70</v>
      </c>
      <c r="C9" s="50"/>
      <c r="D9" s="24"/>
      <c r="E9" s="24"/>
      <c r="F9" s="24"/>
      <c r="G9" s="24"/>
      <c r="H9" s="24"/>
      <c r="I9" s="24"/>
      <c r="J9" s="50" t="s">
        <v>7</v>
      </c>
      <c r="K9" s="50"/>
      <c r="L9" s="24"/>
      <c r="M9" s="24"/>
      <c r="N9" s="24"/>
      <c r="O9" s="24"/>
      <c r="P9" s="24"/>
      <c r="Q9" s="24"/>
      <c r="R9" s="24"/>
      <c r="S9" s="102"/>
      <c r="T9" s="3"/>
      <c r="U9" s="3"/>
      <c r="V9" s="32"/>
      <c r="AW9"/>
      <c r="AX9"/>
      <c r="BJ9"/>
      <c r="BK9"/>
    </row>
    <row r="10" spans="1:63" x14ac:dyDescent="0.25">
      <c r="A10"/>
      <c r="B10" s="89"/>
      <c r="C10" s="50"/>
      <c r="D10" s="24"/>
      <c r="E10" s="24"/>
      <c r="F10" s="174" t="s">
        <v>140</v>
      </c>
      <c r="G10" s="174"/>
      <c r="H10" s="174"/>
      <c r="I10" s="174"/>
      <c r="J10" s="174"/>
      <c r="K10" s="174"/>
      <c r="L10" s="174"/>
      <c r="M10" s="24"/>
      <c r="N10" s="174" t="s">
        <v>141</v>
      </c>
      <c r="O10" s="174"/>
      <c r="P10" s="174"/>
      <c r="Q10" s="24"/>
      <c r="R10" s="24"/>
      <c r="S10" s="102"/>
      <c r="T10" s="3"/>
      <c r="U10" s="3"/>
      <c r="V10" s="32" t="s">
        <v>141</v>
      </c>
      <c r="AW10"/>
      <c r="AX10"/>
      <c r="BJ10"/>
      <c r="BK10"/>
    </row>
    <row r="11" spans="1:63" x14ac:dyDescent="0.25">
      <c r="A11"/>
      <c r="B11" s="91" t="s">
        <v>60</v>
      </c>
      <c r="C11" s="24"/>
      <c r="D11" s="24"/>
      <c r="E11" s="24"/>
      <c r="F11" s="8"/>
      <c r="G11" s="8"/>
      <c r="H11" s="8"/>
      <c r="I11" s="8"/>
      <c r="J11" s="8"/>
      <c r="K11" s="8"/>
      <c r="L11" s="9"/>
      <c r="M11"/>
      <c r="N11" s="8"/>
      <c r="O11" s="8"/>
      <c r="P11" s="8"/>
      <c r="Q11"/>
      <c r="R11" s="103" t="s">
        <v>69</v>
      </c>
      <c r="S11" s="90"/>
      <c r="T11" s="3"/>
      <c r="U11" s="3"/>
      <c r="V11" s="32" t="s">
        <v>257</v>
      </c>
      <c r="AW11"/>
      <c r="AX11"/>
      <c r="BJ11"/>
      <c r="BK11"/>
    </row>
    <row r="12" spans="1:63" x14ac:dyDescent="0.25">
      <c r="A12"/>
      <c r="B12" s="91" t="s">
        <v>61</v>
      </c>
      <c r="C12" s="24"/>
      <c r="D12" s="24"/>
      <c r="E12" s="24"/>
      <c r="F12" s="8"/>
      <c r="G12" s="8"/>
      <c r="H12" s="8"/>
      <c r="I12" s="8"/>
      <c r="J12" s="8"/>
      <c r="K12" s="8"/>
      <c r="L12" s="9"/>
      <c r="M12"/>
      <c r="N12" s="24" t="s">
        <v>191</v>
      </c>
      <c r="O12" s="24" t="s">
        <v>191</v>
      </c>
      <c r="P12" s="24" t="s">
        <v>191</v>
      </c>
      <c r="Q12"/>
      <c r="R12" s="61" t="s">
        <v>65</v>
      </c>
      <c r="S12" s="90" t="s">
        <v>66</v>
      </c>
      <c r="T12" s="3"/>
      <c r="U12" s="3"/>
      <c r="V12" s="32" t="s">
        <v>258</v>
      </c>
      <c r="AW12"/>
      <c r="AX12"/>
      <c r="BJ12"/>
      <c r="BK12"/>
    </row>
    <row r="13" spans="1:63" x14ac:dyDescent="0.25">
      <c r="A13"/>
      <c r="B13" s="91"/>
      <c r="C13" s="24"/>
      <c r="D13" s="24"/>
      <c r="E13" s="24"/>
      <c r="F13" s="8"/>
      <c r="G13" s="8"/>
      <c r="H13" s="8"/>
      <c r="I13" s="8"/>
      <c r="J13" s="8"/>
      <c r="K13" s="8"/>
      <c r="L13" s="9"/>
      <c r="M13" s="24"/>
      <c r="N13" s="8"/>
      <c r="O13" s="8"/>
      <c r="P13" s="39"/>
      <c r="Q13" s="61"/>
      <c r="R13" s="61"/>
      <c r="S13" s="90"/>
      <c r="T13" s="3"/>
      <c r="U13" s="3"/>
      <c r="V13" s="32" t="s">
        <v>209</v>
      </c>
      <c r="AW13"/>
      <c r="AX13"/>
      <c r="BJ13"/>
      <c r="BK13"/>
    </row>
    <row r="14" spans="1:63" x14ac:dyDescent="0.25">
      <c r="A14"/>
      <c r="B14" s="104"/>
      <c r="C14" s="24"/>
      <c r="D14" s="24"/>
      <c r="E14" s="24"/>
      <c r="F14" s="61"/>
      <c r="G14" s="61"/>
      <c r="H14" s="61"/>
      <c r="I14" s="61"/>
      <c r="J14" s="61"/>
      <c r="K14" s="61"/>
      <c r="L14"/>
      <c r="M14" s="61" t="s">
        <v>139</v>
      </c>
      <c r="N14" s="61" t="s">
        <v>21</v>
      </c>
      <c r="O14" s="61" t="s">
        <v>21</v>
      </c>
      <c r="P14" s="61" t="s">
        <v>21</v>
      </c>
      <c r="Q14" s="61" t="s">
        <v>74</v>
      </c>
      <c r="R14" s="61"/>
      <c r="S14" s="90"/>
      <c r="T14" s="3"/>
      <c r="U14" s="3"/>
      <c r="AW14"/>
      <c r="AX14"/>
      <c r="BJ14"/>
      <c r="BK14"/>
    </row>
    <row r="15" spans="1:63" x14ac:dyDescent="0.25">
      <c r="A15"/>
      <c r="B15" s="105"/>
      <c r="C15" s="85"/>
      <c r="D15" s="85"/>
      <c r="E15" s="85"/>
      <c r="F15" s="57"/>
      <c r="G15" s="57"/>
      <c r="H15" s="57"/>
      <c r="I15" s="57"/>
      <c r="J15" s="57"/>
      <c r="K15" s="57"/>
      <c r="L15" s="106"/>
      <c r="M15" s="85" t="s">
        <v>21</v>
      </c>
      <c r="N15" s="57"/>
      <c r="O15" s="57"/>
      <c r="P15" s="57"/>
      <c r="Q15" s="57" t="s">
        <v>21</v>
      </c>
      <c r="R15" s="61"/>
      <c r="S15" s="90"/>
      <c r="T15" s="3"/>
      <c r="U15" s="3"/>
      <c r="AE15" s="32" t="s">
        <v>107</v>
      </c>
      <c r="AW15"/>
      <c r="AX15"/>
      <c r="BJ15"/>
      <c r="BK15"/>
    </row>
    <row r="16" spans="1:63" x14ac:dyDescent="0.25">
      <c r="A16"/>
      <c r="B16" s="105" t="s">
        <v>8</v>
      </c>
      <c r="C16" s="85"/>
      <c r="D16" s="85"/>
      <c r="E16" s="85"/>
      <c r="F16" s="45"/>
      <c r="G16" s="45"/>
      <c r="H16" s="45"/>
      <c r="I16" s="45"/>
      <c r="J16" s="45"/>
      <c r="K16" s="45"/>
      <c r="L16" s="45"/>
      <c r="M16" s="85">
        <f>SUM(F16:L16)</f>
        <v>0</v>
      </c>
      <c r="N16" s="45"/>
      <c r="O16" s="45"/>
      <c r="P16" s="51"/>
      <c r="Q16" s="57">
        <f>F16+G16+H16+I16+J16+K16+L16+N16+O16+P16</f>
        <v>0</v>
      </c>
      <c r="R16" s="107"/>
      <c r="S16" s="108"/>
      <c r="T16" s="3"/>
      <c r="U16" s="3"/>
      <c r="AD16" s="3" t="s">
        <v>111</v>
      </c>
      <c r="AE16" s="3" t="s">
        <v>106</v>
      </c>
      <c r="AF16" s="3" t="s">
        <v>102</v>
      </c>
      <c r="AG16" s="3" t="s">
        <v>103</v>
      </c>
      <c r="AH16" s="3" t="s">
        <v>104</v>
      </c>
      <c r="AI16" s="3" t="s">
        <v>84</v>
      </c>
      <c r="AW16"/>
      <c r="AX16"/>
      <c r="BJ16"/>
      <c r="BK16"/>
    </row>
    <row r="17" spans="1:63" x14ac:dyDescent="0.25">
      <c r="A17"/>
      <c r="B17" s="91" t="s">
        <v>180</v>
      </c>
      <c r="C17" s="109" t="s">
        <v>172</v>
      </c>
      <c r="D17" s="24"/>
      <c r="E17" s="110" t="s">
        <v>9</v>
      </c>
      <c r="F17" s="10"/>
      <c r="G17" s="10"/>
      <c r="H17" s="10"/>
      <c r="I17" s="10"/>
      <c r="J17" s="10"/>
      <c r="K17" s="10"/>
      <c r="L17" s="10"/>
      <c r="M17" s="27" t="e">
        <f xml:space="preserve"> ((($F$16/100)*F17)+(($G$16/100)*G17)+(($H$16/100)*H17)+(($I$16/100)*I17)+(($J$16/100)*J17)+(($K$16/100)*K17)+($L$16/100)*L17)/($M$16/100)</f>
        <v>#DIV/0!</v>
      </c>
      <c r="N17" s="10"/>
      <c r="O17" s="10"/>
      <c r="P17" s="41"/>
      <c r="Q17" s="1" t="e">
        <f>( (($F$16/100)*F17)+(($G$16/100)*G17)+(($H$16/100)*H17)+(($I$16/100)*I17)+(($J$16/100)*J17)+ (($K$16/100)*K17)+(($L$16/100)*L17)+(($N$16/100)*N17)+(($O$16/100)*O17)+(($P$16/100)*P17))/($Q$16/100)</f>
        <v>#DIV/0!</v>
      </c>
      <c r="R17" s="67"/>
      <c r="S17" s="58" t="e">
        <f>IF($J$6="SG",AJ40,NA())</f>
        <v>#N/A</v>
      </c>
      <c r="T17" s="3">
        <f>37.5^0.45</f>
        <v>5.1087431744234335</v>
      </c>
      <c r="U17" s="4" t="str">
        <f t="shared" ref="U17:U29" si="0">IF($N$6="No. 4",AE17,IF($N$6="3/8",AF17,IF($N$6="1/2",AG17,IF($N$6="3/4",AH17,IF($N$6="1",AI17,"")))))</f>
        <v/>
      </c>
      <c r="V17" s="4">
        <v>90</v>
      </c>
      <c r="W17" s="4">
        <v>100</v>
      </c>
      <c r="Z17" s="4" t="s">
        <v>92</v>
      </c>
      <c r="AD17" s="70" t="s">
        <v>112</v>
      </c>
      <c r="AE17" s="3">
        <v>100</v>
      </c>
      <c r="AF17" s="3">
        <v>100</v>
      </c>
      <c r="AG17" s="3">
        <v>100</v>
      </c>
      <c r="AH17" s="3">
        <v>100</v>
      </c>
      <c r="AI17" s="3">
        <v>100</v>
      </c>
      <c r="AK17" s="75" t="s">
        <v>112</v>
      </c>
      <c r="AW17"/>
      <c r="AX17"/>
      <c r="BJ17"/>
      <c r="BK17"/>
    </row>
    <row r="18" spans="1:63" x14ac:dyDescent="0.25">
      <c r="A18"/>
      <c r="B18" s="91" t="s">
        <v>180</v>
      </c>
      <c r="C18" s="109">
        <v>1</v>
      </c>
      <c r="D18" s="24"/>
      <c r="E18" s="110" t="s">
        <v>10</v>
      </c>
      <c r="F18" s="10"/>
      <c r="G18" s="10"/>
      <c r="H18" s="10"/>
      <c r="I18" s="10"/>
      <c r="J18" s="10"/>
      <c r="K18" s="10"/>
      <c r="L18" s="10"/>
      <c r="M18" s="27" t="e">
        <f t="shared" ref="M18:M28" si="1" xml:space="preserve"> ((($F$16/100)*F18)+(($G$16/100)*G18)+(($H$16/100)*H18)+(($I$16/100)*I18)+(($J$16/100)*J18)+(($K$16/100)*K18)+($L$16/100)*L18)/($M$16/100)</f>
        <v>#DIV/0!</v>
      </c>
      <c r="N18" s="10"/>
      <c r="O18" s="10"/>
      <c r="P18" s="41"/>
      <c r="Q18" s="1" t="e">
        <f t="shared" ref="Q18:Q28" si="2">( (($F$16/100)*F18)+(($G$16/100)*G18)+(($H$16/100)*H18)+(($I$16/100)*I18)+(($J$16/100)*J18)+ (($K$16/100)*K18)+(($L$16/100)*L18)+(($N$16/100)*N18)+(($O$16/100)*O18)+(($P$16/100)*P18))/($Q$16/100)</f>
        <v>#DIV/0!</v>
      </c>
      <c r="R18" s="68" t="e">
        <f>IF($J$6="SG",AI42,NA())</f>
        <v>#N/A</v>
      </c>
      <c r="S18" s="58" t="e">
        <f>IF($J$6="SG",AJ42,IF($J$6="S",AL42,IF($J$6="SMA 3/4",AP42,NA())))</f>
        <v>#N/A</v>
      </c>
      <c r="T18" s="3">
        <f>25^0.45</f>
        <v>4.2566996126039234</v>
      </c>
      <c r="U18" s="4" t="str">
        <f t="shared" si="0"/>
        <v/>
      </c>
      <c r="V18" s="4">
        <v>19</v>
      </c>
      <c r="W18" s="4">
        <v>45</v>
      </c>
      <c r="Y18" s="4" t="s">
        <v>91</v>
      </c>
      <c r="Z18" s="4">
        <v>50</v>
      </c>
      <c r="AA18" s="4" t="s">
        <v>2</v>
      </c>
      <c r="AB18" s="4" t="s">
        <v>94</v>
      </c>
      <c r="AC18" s="32" t="s">
        <v>101</v>
      </c>
      <c r="AD18" s="70" t="s">
        <v>113</v>
      </c>
      <c r="AE18" s="3">
        <v>100</v>
      </c>
      <c r="AF18" s="3">
        <v>100</v>
      </c>
      <c r="AG18" s="3">
        <v>100</v>
      </c>
      <c r="AH18" s="3">
        <v>100</v>
      </c>
      <c r="AI18" s="3">
        <f>25^0.45</f>
        <v>4.2566996126039234</v>
      </c>
      <c r="AK18" s="4">
        <v>1</v>
      </c>
      <c r="AW18"/>
      <c r="AX18"/>
      <c r="BJ18"/>
      <c r="BK18"/>
    </row>
    <row r="19" spans="1:63" x14ac:dyDescent="0.25">
      <c r="A19"/>
      <c r="B19" s="91" t="s">
        <v>180</v>
      </c>
      <c r="C19" s="109" t="s">
        <v>110</v>
      </c>
      <c r="D19" s="24"/>
      <c r="E19" s="110" t="s">
        <v>11</v>
      </c>
      <c r="F19" s="10"/>
      <c r="G19" s="10"/>
      <c r="H19" s="10"/>
      <c r="I19" s="10"/>
      <c r="J19" s="10"/>
      <c r="K19" s="10"/>
      <c r="L19" s="10"/>
      <c r="M19" s="27" t="e">
        <f t="shared" si="1"/>
        <v>#DIV/0!</v>
      </c>
      <c r="N19" s="10"/>
      <c r="O19" s="10"/>
      <c r="P19" s="41"/>
      <c r="Q19" s="1" t="e">
        <f t="shared" si="2"/>
        <v>#DIV/0!</v>
      </c>
      <c r="R19" s="68" t="e">
        <f>IF($J$6="S",AK43,IF($J$6="SMA 3/4",AO43,NA()))</f>
        <v>#N/A</v>
      </c>
      <c r="S19" s="58" t="e">
        <f>IF($J$6="S",AL43,IF($J$6="SX",AN43,IF($J$6="SMA 3/4",AP43,IF($J$6="SMA 1/2",AR43,NA()))))</f>
        <v>#N/A</v>
      </c>
      <c r="T19" s="3">
        <f>19^0.45</f>
        <v>3.7621761023862978</v>
      </c>
      <c r="U19" s="4" t="str">
        <f t="shared" si="0"/>
        <v/>
      </c>
      <c r="V19" s="4">
        <v>23</v>
      </c>
      <c r="W19" s="4">
        <v>49</v>
      </c>
      <c r="Y19" s="4" t="s">
        <v>54</v>
      </c>
      <c r="Z19" s="4">
        <v>75</v>
      </c>
      <c r="AA19" s="4">
        <v>1</v>
      </c>
      <c r="AB19" s="32" t="s">
        <v>157</v>
      </c>
      <c r="AC19" s="32" t="s">
        <v>105</v>
      </c>
      <c r="AD19" s="70" t="s">
        <v>110</v>
      </c>
      <c r="AE19" s="3">
        <v>100</v>
      </c>
      <c r="AF19" s="3">
        <v>100</v>
      </c>
      <c r="AG19" s="3">
        <v>100</v>
      </c>
      <c r="AH19" s="3">
        <f>T19</f>
        <v>3.7621761023862978</v>
      </c>
      <c r="AI19" s="3">
        <f>T19</f>
        <v>3.7621761023862978</v>
      </c>
      <c r="AK19" s="75" t="s">
        <v>110</v>
      </c>
      <c r="AW19"/>
      <c r="AX19"/>
      <c r="BJ19"/>
      <c r="BK19"/>
    </row>
    <row r="20" spans="1:63" x14ac:dyDescent="0.25">
      <c r="A20"/>
      <c r="B20" s="91" t="s">
        <v>180</v>
      </c>
      <c r="C20" s="109" t="s">
        <v>109</v>
      </c>
      <c r="D20" s="24"/>
      <c r="E20" s="110" t="s">
        <v>12</v>
      </c>
      <c r="F20" s="10"/>
      <c r="G20" s="10"/>
      <c r="H20" s="10"/>
      <c r="I20" s="10"/>
      <c r="J20" s="10"/>
      <c r="K20" s="10"/>
      <c r="L20" s="10"/>
      <c r="M20" s="27" t="e">
        <f t="shared" si="1"/>
        <v>#DIV/0!</v>
      </c>
      <c r="N20" s="10"/>
      <c r="O20" s="10"/>
      <c r="P20" s="41"/>
      <c r="Q20" s="1" t="e">
        <f t="shared" si="2"/>
        <v>#DIV/0!</v>
      </c>
      <c r="R20" s="68" t="e">
        <f>IF($J$6="SX",AM44,IF($J$6="SMA 3/4",AO44,IF($J$6="SMA 1/2",AQ44,NA())))</f>
        <v>#N/A</v>
      </c>
      <c r="S20" s="58" t="e">
        <f>IF($J$6="SMA 3/8",AT44,IF($J$6="SX",AN44,IF($J$6="SMA 3/4",AP44,IF($J$6="SMA 1/2",AR44,IF($J$6="SMA No. 4",AV44,IF($J$6="ST",AX44,NA()))))))</f>
        <v>#N/A</v>
      </c>
      <c r="T20" s="3">
        <f>12.5^0.45</f>
        <v>3.116086507375345</v>
      </c>
      <c r="U20" s="4" t="str">
        <f t="shared" si="0"/>
        <v/>
      </c>
      <c r="V20" s="4">
        <v>28</v>
      </c>
      <c r="W20" s="4">
        <v>58</v>
      </c>
      <c r="Y20" s="4" t="s">
        <v>82</v>
      </c>
      <c r="Z20" s="4">
        <v>100</v>
      </c>
      <c r="AA20" s="4">
        <v>2</v>
      </c>
      <c r="AB20" s="4" t="s">
        <v>95</v>
      </c>
      <c r="AC20" s="34" t="s">
        <v>108</v>
      </c>
      <c r="AD20" s="70" t="s">
        <v>109</v>
      </c>
      <c r="AE20" s="3">
        <v>100</v>
      </c>
      <c r="AF20" s="3">
        <v>100</v>
      </c>
      <c r="AG20" s="3">
        <f>12.5^0.45</f>
        <v>3.116086507375345</v>
      </c>
      <c r="AH20" s="3">
        <f>12.5^0.45</f>
        <v>3.116086507375345</v>
      </c>
      <c r="AI20" s="3">
        <f>12.5^0.45</f>
        <v>3.116086507375345</v>
      </c>
      <c r="AK20" s="75" t="s">
        <v>109</v>
      </c>
      <c r="AW20"/>
      <c r="AX20"/>
      <c r="BJ20"/>
      <c r="BK20"/>
    </row>
    <row r="21" spans="1:63" x14ac:dyDescent="0.25">
      <c r="A21"/>
      <c r="B21" s="91" t="s">
        <v>180</v>
      </c>
      <c r="C21" s="109" t="s">
        <v>108</v>
      </c>
      <c r="D21" s="24"/>
      <c r="E21" s="110" t="s">
        <v>13</v>
      </c>
      <c r="F21" s="10"/>
      <c r="G21" s="10"/>
      <c r="H21" s="10"/>
      <c r="I21" s="10"/>
      <c r="J21" s="10"/>
      <c r="K21" s="10"/>
      <c r="L21" s="10"/>
      <c r="M21" s="27" t="e">
        <f t="shared" si="1"/>
        <v>#DIV/0!</v>
      </c>
      <c r="N21" s="10"/>
      <c r="O21" s="10"/>
      <c r="P21" s="41"/>
      <c r="Q21" s="1" t="e">
        <f t="shared" si="2"/>
        <v>#DIV/0!</v>
      </c>
      <c r="R21" s="68" t="e">
        <f>IF($J$6="SMA 3/8",AS45,IF($J$6="SMA 3/4",AO45,IF($J$6="SMA 1/2",AQ45,IF($J$6="ST",AW45,NA()))))</f>
        <v>#N/A</v>
      </c>
      <c r="S21" s="58" t="e">
        <f>IF($J$6="SMA 3/8",AT45,IF($J$6="SMA 3/4",AP45,IF($J$6="SMA 1/2",AR45,IF($J$6="SMA No. 4",AV45,IF($J$6="ST",AX45,IF($J$6="SF",BK45,NA()))))))</f>
        <v>#N/A</v>
      </c>
      <c r="T21" s="3">
        <f>9.5^0.45</f>
        <v>2.754074108566122</v>
      </c>
      <c r="U21" s="4" t="str">
        <f t="shared" si="0"/>
        <v/>
      </c>
      <c r="V21" s="4">
        <v>1</v>
      </c>
      <c r="W21" s="4">
        <v>7</v>
      </c>
      <c r="Y21" s="4" t="s">
        <v>83</v>
      </c>
      <c r="Z21" s="4">
        <v>125</v>
      </c>
      <c r="AA21" s="4">
        <v>3</v>
      </c>
      <c r="AB21" s="4" t="s">
        <v>96</v>
      </c>
      <c r="AC21" s="34" t="s">
        <v>109</v>
      </c>
      <c r="AD21" s="70" t="s">
        <v>108</v>
      </c>
      <c r="AE21" s="3">
        <v>100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I21" s="3">
        <f>9.5^0.45</f>
        <v>2.754074108566122</v>
      </c>
      <c r="AK21" s="75" t="s">
        <v>108</v>
      </c>
      <c r="AW21"/>
      <c r="AX21"/>
      <c r="BJ21"/>
      <c r="BK21"/>
    </row>
    <row r="22" spans="1:63" x14ac:dyDescent="0.25">
      <c r="A22"/>
      <c r="B22" s="91" t="s">
        <v>180</v>
      </c>
      <c r="C22" s="109" t="s">
        <v>173</v>
      </c>
      <c r="D22" s="24"/>
      <c r="E22" s="110" t="s">
        <v>14</v>
      </c>
      <c r="F22" s="10"/>
      <c r="G22" s="10"/>
      <c r="H22" s="10"/>
      <c r="I22" s="10"/>
      <c r="J22" s="10"/>
      <c r="K22" s="10"/>
      <c r="L22" s="10"/>
      <c r="M22" s="27" t="e">
        <f t="shared" si="1"/>
        <v>#DIV/0!</v>
      </c>
      <c r="N22" s="10"/>
      <c r="O22" s="10"/>
      <c r="P22" s="41"/>
      <c r="Q22" s="1" t="e">
        <f t="shared" si="2"/>
        <v>#DIV/0!</v>
      </c>
      <c r="R22" s="68" t="e">
        <f>IF($J$6="SMA 3/8",AS46,IF($J$6="SMA 3/4",AO46,IF($J$6="SMA 1/2",AQ46,IF($J$6="SMA No. 4",AU46,IF($J$6="SF",BJ46,NA())))))</f>
        <v>#N/A</v>
      </c>
      <c r="S22" s="58" t="e">
        <f>IF($J$6="SMA 3/8",AT46,IF($J$6="SMA 3/4",AP46,IF($J$6="SMA 1/2",AR46,IF($J$6="SMA No. 4",AV46,IF($J$6="SF",BK46,NA())))))</f>
        <v>#N/A</v>
      </c>
      <c r="T22" s="3">
        <f>4.75^0.45</f>
        <v>2.0161002539629291</v>
      </c>
      <c r="U22" s="4" t="str">
        <f t="shared" si="0"/>
        <v/>
      </c>
      <c r="V22" s="4">
        <v>2</v>
      </c>
      <c r="W22" s="4">
        <v>8</v>
      </c>
      <c r="Y22" s="32" t="s">
        <v>128</v>
      </c>
      <c r="Z22" s="32" t="s">
        <v>146</v>
      </c>
      <c r="AA22" s="4">
        <v>4</v>
      </c>
      <c r="AB22" s="4" t="s">
        <v>97</v>
      </c>
      <c r="AC22" s="35" t="s">
        <v>110</v>
      </c>
      <c r="AD22" s="70" t="s">
        <v>105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I22" s="3">
        <f>4.75^0.45</f>
        <v>2.0161002539629291</v>
      </c>
      <c r="AK22" s="4" t="s">
        <v>173</v>
      </c>
      <c r="AW22"/>
      <c r="AX22"/>
      <c r="BJ22"/>
      <c r="BK22"/>
    </row>
    <row r="23" spans="1:63" x14ac:dyDescent="0.25">
      <c r="A23"/>
      <c r="B23" s="91" t="s">
        <v>180</v>
      </c>
      <c r="C23" s="109" t="s">
        <v>174</v>
      </c>
      <c r="D23" s="24"/>
      <c r="E23" s="110" t="s">
        <v>15</v>
      </c>
      <c r="F23" s="10"/>
      <c r="G23" s="10"/>
      <c r="H23" s="10"/>
      <c r="I23" s="10"/>
      <c r="J23" s="10"/>
      <c r="K23" s="10"/>
      <c r="L23" s="10"/>
      <c r="M23" s="27" t="e">
        <f t="shared" si="1"/>
        <v>#DIV/0!</v>
      </c>
      <c r="N23" s="10"/>
      <c r="O23" s="10"/>
      <c r="P23" s="41"/>
      <c r="Q23" s="1" t="e">
        <f t="shared" si="2"/>
        <v>#DIV/0!</v>
      </c>
      <c r="R23" s="68" t="e">
        <f>IF($J$6="SMA 3/8",AS47,IF($J$6="SMA 3/4",AO47,IF($J$6="SMA 1/2",AQ47,IF($J$6="SMA No. 4",AU47,IF($J$6="SG",AI47,IF($J$6="S",AK47,IF($J$6="SX",AM47,IF($J$6="ST",AW47,NA()))))))))</f>
        <v>#N/A</v>
      </c>
      <c r="S23" s="58" t="e">
        <f>IF($J$6="SMA 3/8",AT47,IF($J$6="SMA 3/4",AP47,IF($J$6="SMA 1/2",AR47,IF($J$6="SMA No. 4",AV47,IF($J$6="SG",AJ47,IF($J$6="S",AL47,IF($J$6="SX",AN47,IF($J$6="ST",AX47,NA()))))))))</f>
        <v>#N/A</v>
      </c>
      <c r="T23" s="3">
        <f>2.36^0.45</f>
        <v>1.4716698795820382</v>
      </c>
      <c r="U23" s="4" t="str">
        <f t="shared" si="0"/>
        <v/>
      </c>
      <c r="W23" s="4">
        <v>10</v>
      </c>
      <c r="Y23" s="32" t="s">
        <v>129</v>
      </c>
      <c r="AA23" s="4">
        <v>5</v>
      </c>
      <c r="AB23" s="4" t="s">
        <v>98</v>
      </c>
      <c r="AC23" s="35" t="s">
        <v>113</v>
      </c>
      <c r="AD23" s="70" t="s">
        <v>114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I23" s="3">
        <f>2.36^0.45</f>
        <v>1.4716698795820382</v>
      </c>
      <c r="AK23" s="4" t="s">
        <v>174</v>
      </c>
      <c r="AW23"/>
      <c r="AX23"/>
      <c r="BJ23"/>
      <c r="BK23"/>
    </row>
    <row r="24" spans="1:63" x14ac:dyDescent="0.25">
      <c r="A24"/>
      <c r="B24" s="91" t="s">
        <v>180</v>
      </c>
      <c r="C24" s="109" t="s">
        <v>175</v>
      </c>
      <c r="D24" s="24"/>
      <c r="E24" s="110" t="s">
        <v>16</v>
      </c>
      <c r="F24" s="10"/>
      <c r="G24" s="10"/>
      <c r="H24" s="10"/>
      <c r="I24" s="10"/>
      <c r="J24" s="10"/>
      <c r="K24" s="10"/>
      <c r="L24" s="10"/>
      <c r="M24" s="27" t="e">
        <f t="shared" si="1"/>
        <v>#DIV/0!</v>
      </c>
      <c r="N24" s="10"/>
      <c r="O24" s="10"/>
      <c r="P24" s="41"/>
      <c r="Q24" s="1" t="e">
        <f t="shared" si="2"/>
        <v>#DIV/0!</v>
      </c>
      <c r="R24" s="68" t="e">
        <f>IF($J$6="SMA No. 4",AU48,IF($J$6="SF",BJ48,NA()))</f>
        <v>#N/A</v>
      </c>
      <c r="S24" s="58" t="e">
        <f>IF($J$6="SMA No. 4",AV48,IF($J$6="SF",BK48,NA()))</f>
        <v>#N/A</v>
      </c>
      <c r="T24" s="3">
        <f>1.18^0.45</f>
        <v>1.0773254099250416</v>
      </c>
      <c r="U24" s="4" t="str">
        <f t="shared" si="0"/>
        <v/>
      </c>
      <c r="Y24" s="32" t="s">
        <v>130</v>
      </c>
      <c r="AA24" s="4">
        <v>6</v>
      </c>
      <c r="AB24" s="4" t="s">
        <v>99</v>
      </c>
      <c r="AD24" s="70" t="s">
        <v>115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I24" s="3">
        <f>1.18^0.45</f>
        <v>1.0773254099250416</v>
      </c>
      <c r="AK24" s="4" t="s">
        <v>175</v>
      </c>
      <c r="AW24"/>
      <c r="AX24"/>
      <c r="BJ24"/>
      <c r="BK24"/>
    </row>
    <row r="25" spans="1:63" x14ac:dyDescent="0.25">
      <c r="A25"/>
      <c r="B25" s="91" t="s">
        <v>180</v>
      </c>
      <c r="C25" s="109" t="s">
        <v>176</v>
      </c>
      <c r="D25" s="24"/>
      <c r="E25" s="110" t="s">
        <v>17</v>
      </c>
      <c r="F25" s="10"/>
      <c r="G25" s="10"/>
      <c r="H25" s="10"/>
      <c r="I25" s="10"/>
      <c r="J25" s="10"/>
      <c r="K25" s="10"/>
      <c r="L25" s="10"/>
      <c r="M25" s="27" t="e">
        <f t="shared" si="1"/>
        <v>#DIV/0!</v>
      </c>
      <c r="N25" s="10"/>
      <c r="O25" s="10"/>
      <c r="P25" s="41"/>
      <c r="Q25" s="1" t="e">
        <f t="shared" si="2"/>
        <v>#DIV/0!</v>
      </c>
      <c r="R25" s="68" t="e">
        <f>IF($J$6="SMA 3/8",AS49,IF($J$6="SMA 3/4",AO49,IF($J$6="SMA 1/2",AQ49,IF($J$6="SMA No. 4",AU49,NA()))))</f>
        <v>#N/A</v>
      </c>
      <c r="S25" s="58" t="e">
        <f>IF($J$6="SMA 3/8",AT49,IF($J$6="SMA 3/4",AP49,IF($J$6="SMA 1/2",AR49,IF($J$6="SMA No. 4",AV49,NA()))))</f>
        <v>#N/A</v>
      </c>
      <c r="T25" s="3">
        <f>0.6^0.45</f>
        <v>0.79463568224020453</v>
      </c>
      <c r="U25" s="4" t="str">
        <f t="shared" si="0"/>
        <v/>
      </c>
      <c r="Y25" s="32" t="s">
        <v>132</v>
      </c>
      <c r="AA25" s="32" t="s">
        <v>209</v>
      </c>
      <c r="AD25" s="70" t="s">
        <v>119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I25" s="3">
        <f>0.6^0.45</f>
        <v>0.79463568224020453</v>
      </c>
      <c r="AK25" s="4" t="s">
        <v>176</v>
      </c>
      <c r="AW25"/>
      <c r="AX25"/>
      <c r="BJ25"/>
      <c r="BK25"/>
    </row>
    <row r="26" spans="1:63" x14ac:dyDescent="0.25">
      <c r="A26"/>
      <c r="B26" s="91" t="s">
        <v>180</v>
      </c>
      <c r="C26" s="109" t="s">
        <v>177</v>
      </c>
      <c r="D26" s="24"/>
      <c r="E26" s="110" t="s">
        <v>18</v>
      </c>
      <c r="F26" s="10"/>
      <c r="G26" s="10"/>
      <c r="H26" s="10"/>
      <c r="I26" s="10"/>
      <c r="J26" s="10"/>
      <c r="K26" s="10"/>
      <c r="L26" s="10"/>
      <c r="M26" s="27" t="e">
        <f t="shared" si="1"/>
        <v>#DIV/0!</v>
      </c>
      <c r="N26" s="10"/>
      <c r="O26" s="10"/>
      <c r="P26" s="41"/>
      <c r="Q26" s="1" t="e">
        <f t="shared" si="2"/>
        <v>#DIV/0!</v>
      </c>
      <c r="R26" s="68" t="e">
        <f>IF($J$6="SMA 3/8",AS50,IF($J$6="SMA No. 4",AU50,NA()))</f>
        <v>#N/A</v>
      </c>
      <c r="S26" s="58" t="e">
        <f>IF($J$6="SMA 3/8",AT50,IF($J$6="SMA No. 4",AV50,NA()))</f>
        <v>#N/A</v>
      </c>
      <c r="T26" s="3">
        <f>0.3^0.45</f>
        <v>0.58170736792793831</v>
      </c>
      <c r="U26" s="4" t="str">
        <f t="shared" si="0"/>
        <v/>
      </c>
      <c r="Y26" s="32" t="s">
        <v>243</v>
      </c>
      <c r="AD26" s="70" t="s">
        <v>116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I26" s="3">
        <f>0.3^0.45</f>
        <v>0.58170736792793831</v>
      </c>
      <c r="AK26" s="4" t="s">
        <v>177</v>
      </c>
      <c r="AW26"/>
      <c r="AX26"/>
      <c r="BJ26"/>
      <c r="BK26"/>
    </row>
    <row r="27" spans="1:63" x14ac:dyDescent="0.25">
      <c r="A27"/>
      <c r="B27" s="91" t="s">
        <v>180</v>
      </c>
      <c r="C27" s="109" t="s">
        <v>178</v>
      </c>
      <c r="D27" s="24"/>
      <c r="E27" s="110" t="s">
        <v>19</v>
      </c>
      <c r="F27" s="10"/>
      <c r="G27" s="10"/>
      <c r="H27" s="10"/>
      <c r="I27" s="10"/>
      <c r="J27" s="10"/>
      <c r="K27" s="10"/>
      <c r="L27" s="10"/>
      <c r="M27" s="27" t="e">
        <f t="shared" si="1"/>
        <v>#DIV/0!</v>
      </c>
      <c r="N27" s="10"/>
      <c r="O27" s="10"/>
      <c r="P27" s="41"/>
      <c r="Q27" s="1" t="e">
        <f t="shared" si="2"/>
        <v>#DIV/0!</v>
      </c>
      <c r="R27" s="68"/>
      <c r="S27" s="58"/>
      <c r="T27" s="3">
        <f>0.15^0.45</f>
        <v>0.42583471830473674</v>
      </c>
      <c r="U27" s="4" t="str">
        <f t="shared" si="0"/>
        <v/>
      </c>
      <c r="Y27" s="32" t="s">
        <v>244</v>
      </c>
      <c r="AD27" s="70" t="s">
        <v>117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I27" s="3">
        <f>0.15^0.45</f>
        <v>0.42583471830473674</v>
      </c>
      <c r="AK27" s="4" t="s">
        <v>178</v>
      </c>
      <c r="AW27"/>
      <c r="AX27"/>
      <c r="BJ27"/>
      <c r="BK27"/>
    </row>
    <row r="28" spans="1:63" ht="13.8" thickBot="1" x14ac:dyDescent="0.3">
      <c r="A28"/>
      <c r="B28" s="98" t="s">
        <v>180</v>
      </c>
      <c r="C28" s="111" t="s">
        <v>179</v>
      </c>
      <c r="D28" s="44"/>
      <c r="E28" s="112" t="s">
        <v>20</v>
      </c>
      <c r="F28" s="12"/>
      <c r="G28" s="12"/>
      <c r="H28" s="12"/>
      <c r="I28" s="12"/>
      <c r="J28" s="12"/>
      <c r="K28" s="12"/>
      <c r="L28" s="12"/>
      <c r="M28" s="49" t="e">
        <f t="shared" si="1"/>
        <v>#DIV/0!</v>
      </c>
      <c r="N28" s="12"/>
      <c r="O28" s="12"/>
      <c r="P28" s="42"/>
      <c r="Q28" s="2" t="e">
        <f t="shared" si="2"/>
        <v>#DIV/0!</v>
      </c>
      <c r="R28" s="69" t="e">
        <f>IF($J$6="SMA 3/8",AS52,IF($J$6="SMA 3/4",AO52,IF($J$6="SMA 1/2",AQ52,IF($J$6="SMA No. 4",AU52,IF($J$6="SG",AI52,IF($J$6="S",AK52,IF($J$6="SX",AM52,IF($J$6="ST",AW52,IF($J$6="SF",BJ52,NA())))))))))</f>
        <v>#N/A</v>
      </c>
      <c r="S28" s="59" t="e">
        <f>IF($J$6="SMA 3/8",AT52,IF($J$6="SMA 3/4",AP52,IF($J$6="SMA 1/2",AR52,IF($J$6="SMA No. 4",AV52,IF($J$6="SG",AJ52,IF($J$6="S",AL52,IF($J$6="SX",AN52,IF($J$6="ST",AX52,IF($J$6="SF",BK52,NA())))))))))</f>
        <v>#N/A</v>
      </c>
      <c r="T28" s="3">
        <f>0.075^0.45</f>
        <v>0.31172925995349998</v>
      </c>
      <c r="U28" s="4" t="str">
        <f t="shared" si="0"/>
        <v/>
      </c>
      <c r="AD28" s="70" t="s">
        <v>118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I28" s="3">
        <f>0.075^0.45</f>
        <v>0.31172925995349998</v>
      </c>
      <c r="AK28" s="4" t="s">
        <v>179</v>
      </c>
      <c r="AW28"/>
      <c r="AX28"/>
      <c r="BJ28"/>
      <c r="BK28"/>
    </row>
    <row r="29" spans="1:63" x14ac:dyDescent="0.25">
      <c r="A29"/>
      <c r="B29" s="91" t="s">
        <v>71</v>
      </c>
      <c r="C29" s="24"/>
      <c r="D29" s="24"/>
      <c r="E29" s="110"/>
      <c r="F29" s="14"/>
      <c r="G29" s="14"/>
      <c r="H29" s="14"/>
      <c r="I29" s="8"/>
      <c r="J29" s="8"/>
      <c r="K29" s="8"/>
      <c r="L29" s="8"/>
      <c r="M29" s="61"/>
      <c r="N29" s="8"/>
      <c r="O29" s="8"/>
      <c r="P29" s="43"/>
      <c r="Q29" s="113"/>
      <c r="R29" s="61"/>
      <c r="S29" s="102" t="s">
        <v>32</v>
      </c>
      <c r="T29" s="3">
        <v>0</v>
      </c>
      <c r="U29" s="4" t="str">
        <f t="shared" si="0"/>
        <v/>
      </c>
      <c r="AD29" s="3">
        <v>0</v>
      </c>
      <c r="AW29"/>
      <c r="AX29"/>
      <c r="BJ29"/>
      <c r="BK29"/>
    </row>
    <row r="30" spans="1:63" x14ac:dyDescent="0.25">
      <c r="A30"/>
      <c r="B30" s="91" t="s">
        <v>75</v>
      </c>
      <c r="C30" s="24"/>
      <c r="D30" s="24"/>
      <c r="E30" s="24"/>
      <c r="F30" s="15"/>
      <c r="G30" s="15"/>
      <c r="H30" s="15"/>
      <c r="I30" s="15"/>
      <c r="J30" s="15"/>
      <c r="K30" s="15"/>
      <c r="L30" s="15"/>
      <c r="M30" s="30"/>
      <c r="N30" s="30" t="str">
        <f>IF(N11=$V$11,IF(N31=""," ",(100*$Q$36*N31)/((0.61*N31)+100*$Q$36)),IF(OR(N11=$V$12,N11=$V$13),N31," "))</f>
        <v xml:space="preserve"> </v>
      </c>
      <c r="O30" s="30" t="str">
        <f t="shared" ref="O30:P30" si="3">IF(O11=$V$11,IF(O31=""," ",(100*$Q$36*O31)/((0.61*O31)+100*$Q$36)),IF(OR(O11=$V$12,O11=$V$13),O31," "))</f>
        <v xml:space="preserve"> </v>
      </c>
      <c r="P30" s="30" t="str">
        <f t="shared" si="3"/>
        <v xml:space="preserve"> </v>
      </c>
      <c r="Q30" s="30" t="e">
        <f>BI30</f>
        <v>#DIV/0!</v>
      </c>
      <c r="R30" s="110"/>
      <c r="S30" s="90"/>
      <c r="T30" s="3"/>
      <c r="U30" s="3"/>
      <c r="W30" s="4">
        <v>0</v>
      </c>
      <c r="AW30"/>
      <c r="AX30"/>
      <c r="AY30" s="52" t="str">
        <f>IF(F30&gt;1,F16/F30," ")</f>
        <v xml:space="preserve"> </v>
      </c>
      <c r="AZ30" s="52" t="str">
        <f>IF(G30&gt;1,G16/G30," ")</f>
        <v xml:space="preserve"> </v>
      </c>
      <c r="BA30" s="52" t="str">
        <f>IF(H30&gt;1,H16/H30," ")</f>
        <v xml:space="preserve"> </v>
      </c>
      <c r="BB30" s="52" t="str">
        <f>IF(I30&gt;1,I16/I30," ")</f>
        <v xml:space="preserve"> </v>
      </c>
      <c r="BC30" s="52" t="str">
        <f>IF(J30&gt;1,J16/J30," ")</f>
        <v xml:space="preserve"> </v>
      </c>
      <c r="BD30" s="52" t="str">
        <f t="shared" ref="BD30" si="4">IF(L30&gt;1,L16/L30," ")</f>
        <v xml:space="preserve"> </v>
      </c>
      <c r="BE30"/>
      <c r="BF30" s="52" t="str">
        <f>IF(N30&lt;&gt;" ",N16/N30,"")</f>
        <v/>
      </c>
      <c r="BG30" s="52" t="str">
        <f>IF(O30&lt;&gt;" ",O16/O30,"")</f>
        <v/>
      </c>
      <c r="BH30" s="52" t="str">
        <f>IF(P30&lt;&gt;" ",P16/P30,"")</f>
        <v/>
      </c>
      <c r="BI30" s="137" t="e">
        <f>Q16/SUM(AY30:BH30)</f>
        <v>#DIV/0!</v>
      </c>
      <c r="BJ30"/>
      <c r="BK30"/>
    </row>
    <row r="31" spans="1:63" x14ac:dyDescent="0.25">
      <c r="A31"/>
      <c r="B31" s="91" t="s">
        <v>77</v>
      </c>
      <c r="C31" s="24"/>
      <c r="D31" s="24"/>
      <c r="E31" s="24"/>
      <c r="F31" s="15"/>
      <c r="G31" s="15"/>
      <c r="H31" s="15"/>
      <c r="I31" s="15"/>
      <c r="J31" s="15"/>
      <c r="K31" s="15"/>
      <c r="L31" s="15"/>
      <c r="M31" s="30"/>
      <c r="N31" s="15"/>
      <c r="O31" s="15"/>
      <c r="P31" s="39"/>
      <c r="Q31" s="15"/>
      <c r="R31" s="110"/>
      <c r="S31" s="90"/>
      <c r="T31" s="3"/>
      <c r="U31" s="3"/>
      <c r="AW31"/>
      <c r="AX31"/>
      <c r="BJ31"/>
      <c r="BK31"/>
    </row>
    <row r="32" spans="1:63" x14ac:dyDescent="0.25">
      <c r="A32"/>
      <c r="B32" s="91" t="s">
        <v>80</v>
      </c>
      <c r="C32" s="24"/>
      <c r="D32" s="24"/>
      <c r="E32" s="24"/>
      <c r="F32" s="16"/>
      <c r="G32" s="16"/>
      <c r="H32" s="16"/>
      <c r="I32" s="16"/>
      <c r="J32" s="16"/>
      <c r="K32" s="16"/>
      <c r="L32" s="16"/>
      <c r="M32" s="114"/>
      <c r="N32" s="16"/>
      <c r="O32" s="16"/>
      <c r="P32" s="39"/>
      <c r="Q32" s="15"/>
      <c r="R32" s="110"/>
      <c r="S32" s="90"/>
      <c r="T32" s="3"/>
      <c r="U32" s="3"/>
      <c r="AW32"/>
      <c r="AX32"/>
      <c r="BJ32"/>
      <c r="BK32"/>
    </row>
    <row r="33" spans="1:63" x14ac:dyDescent="0.25">
      <c r="A33"/>
      <c r="B33" s="91" t="s">
        <v>76</v>
      </c>
      <c r="C33" s="24"/>
      <c r="D33" s="24"/>
      <c r="E33" s="24"/>
      <c r="F33" s="24" t="s">
        <v>22</v>
      </c>
      <c r="G33" s="24"/>
      <c r="H33" s="24"/>
      <c r="I33" s="24"/>
      <c r="J33" s="24"/>
      <c r="K33" s="24"/>
      <c r="L33" s="24"/>
      <c r="M33" s="24"/>
      <c r="N33" s="24"/>
      <c r="O33" s="24"/>
      <c r="P33" s="61"/>
      <c r="Q33" s="30" t="e">
        <f>(100-$G$49)/((100/$E$49)-($G$49/$Q$36))</f>
        <v>#DIV/0!</v>
      </c>
      <c r="R33" s="110"/>
      <c r="S33" s="90"/>
      <c r="T33" s="3"/>
      <c r="U33" s="3"/>
      <c r="AW33"/>
      <c r="AX33"/>
      <c r="BJ33"/>
      <c r="BK33"/>
    </row>
    <row r="34" spans="1:63" x14ac:dyDescent="0.25">
      <c r="A34"/>
      <c r="B34" s="91" t="s">
        <v>78</v>
      </c>
      <c r="C34" s="24"/>
      <c r="D34" s="24"/>
      <c r="E34" s="24"/>
      <c r="F34" s="24" t="s">
        <v>22</v>
      </c>
      <c r="G34" s="24"/>
      <c r="H34" s="24"/>
      <c r="I34" s="24"/>
      <c r="J34" s="24"/>
      <c r="K34" s="24"/>
      <c r="L34" s="24"/>
      <c r="M34" s="24"/>
      <c r="N34" s="24"/>
      <c r="O34" s="24"/>
      <c r="P34"/>
      <c r="Q34" s="15"/>
      <c r="R34" s="110"/>
      <c r="S34" s="90"/>
      <c r="T34" s="3"/>
      <c r="U34" s="3"/>
      <c r="AW34"/>
      <c r="AX34"/>
      <c r="BJ34"/>
      <c r="BK34"/>
    </row>
    <row r="35" spans="1:63" x14ac:dyDescent="0.25">
      <c r="A35"/>
      <c r="B35" s="91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/>
      <c r="Q35" s="15"/>
      <c r="R35" s="110"/>
      <c r="S35" s="90"/>
      <c r="T35" s="3"/>
      <c r="U35" s="3"/>
      <c r="AW35"/>
      <c r="AX35" s="52"/>
      <c r="BJ35"/>
      <c r="BK35"/>
    </row>
    <row r="36" spans="1:63" x14ac:dyDescent="0.25">
      <c r="A36"/>
      <c r="B36" s="91" t="s">
        <v>86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/>
      <c r="Q36" s="15"/>
      <c r="R36" s="110"/>
      <c r="S36" s="90"/>
      <c r="T36" s="3"/>
      <c r="U36" s="3"/>
      <c r="AW36"/>
      <c r="AX36" s="24"/>
      <c r="BJ36"/>
      <c r="BK36"/>
    </row>
    <row r="37" spans="1:63" x14ac:dyDescent="0.25">
      <c r="A37"/>
      <c r="B37" s="91" t="s">
        <v>72</v>
      </c>
      <c r="C37" s="24"/>
      <c r="D37" s="24"/>
      <c r="E37" s="24"/>
      <c r="F37" s="24"/>
      <c r="G37"/>
      <c r="H37" s="24"/>
      <c r="I37" s="24"/>
      <c r="J37" s="24"/>
      <c r="K37" s="24"/>
      <c r="L37" s="24"/>
      <c r="M37" s="24"/>
      <c r="N37" s="24"/>
      <c r="O37" s="24"/>
      <c r="P37"/>
      <c r="Q37" s="17"/>
      <c r="R37" s="110"/>
      <c r="S37" s="65"/>
      <c r="T37" s="3"/>
      <c r="U37" s="3"/>
      <c r="AI37" s="32" t="s">
        <v>127</v>
      </c>
      <c r="AW37"/>
      <c r="AX37" s="24"/>
      <c r="BJ37"/>
      <c r="BK37"/>
    </row>
    <row r="38" spans="1:63" x14ac:dyDescent="0.25">
      <c r="A38"/>
      <c r="B38" s="91" t="s">
        <v>168</v>
      </c>
      <c r="C38" s="24"/>
      <c r="D38" s="24"/>
      <c r="E38" s="24"/>
      <c r="F38" s="24"/>
      <c r="G38"/>
      <c r="H38" s="24" t="s">
        <v>22</v>
      </c>
      <c r="I38" s="24"/>
      <c r="J38" s="24"/>
      <c r="K38" s="24"/>
      <c r="L38" s="24"/>
      <c r="M38" s="24"/>
      <c r="N38" s="24"/>
      <c r="O38" s="24"/>
      <c r="P38"/>
      <c r="Q38" s="8"/>
      <c r="R38" s="115" t="s">
        <v>63</v>
      </c>
      <c r="S38" s="48" t="s">
        <v>59</v>
      </c>
      <c r="T38" s="3"/>
      <c r="U38" s="3"/>
      <c r="AA38" s="32" t="s">
        <v>126</v>
      </c>
      <c r="AB38" s="4" t="s">
        <v>120</v>
      </c>
      <c r="AC38" s="4" t="s">
        <v>121</v>
      </c>
      <c r="AD38" s="4" t="s">
        <v>122</v>
      </c>
      <c r="AE38" s="4" t="s">
        <v>123</v>
      </c>
      <c r="AI38" s="175" t="s">
        <v>83</v>
      </c>
      <c r="AJ38" s="175"/>
      <c r="AK38" s="175" t="s">
        <v>82</v>
      </c>
      <c r="AL38" s="175"/>
      <c r="AM38" s="175" t="s">
        <v>54</v>
      </c>
      <c r="AN38" s="175"/>
      <c r="AO38" s="175" t="s">
        <v>128</v>
      </c>
      <c r="AP38" s="175"/>
      <c r="AQ38" s="175" t="s">
        <v>129</v>
      </c>
      <c r="AR38" s="175"/>
      <c r="AS38" s="175" t="s">
        <v>130</v>
      </c>
      <c r="AT38" s="175"/>
      <c r="AU38" s="175" t="s">
        <v>131</v>
      </c>
      <c r="AV38" s="175"/>
      <c r="AW38" s="176" t="s">
        <v>243</v>
      </c>
      <c r="AX38" s="177"/>
      <c r="BJ38" s="176" t="s">
        <v>244</v>
      </c>
      <c r="BK38" s="177"/>
    </row>
    <row r="39" spans="1:63" x14ac:dyDescent="0.25">
      <c r="A39"/>
      <c r="B39" s="91" t="s">
        <v>73</v>
      </c>
      <c r="C39" s="24"/>
      <c r="D39" s="24"/>
      <c r="E39" s="24"/>
      <c r="F39" s="40"/>
      <c r="G39" s="33"/>
      <c r="H39" s="40"/>
      <c r="I39" s="40"/>
      <c r="J39" s="40"/>
      <c r="K39" s="40"/>
      <c r="L39" s="40"/>
      <c r="M39" s="24"/>
      <c r="N39" s="24"/>
      <c r="O39" s="24"/>
      <c r="P39"/>
      <c r="Q39" s="61"/>
      <c r="R39" s="110"/>
      <c r="S39" s="48" t="str">
        <f>IF($J$6="SMA 3/4","30 max",IF($J$6="SMA 1/2","30 max",IF($J$6="SMA 3/8","30 max",IF($J$6="SMA No. 4","30 max","45 max"))))</f>
        <v>45 max</v>
      </c>
      <c r="T39" s="3"/>
      <c r="U39" s="3"/>
      <c r="V39" s="3" t="s">
        <v>192</v>
      </c>
      <c r="AF39" s="32" t="s">
        <v>210</v>
      </c>
      <c r="AI39" s="32" t="s">
        <v>133</v>
      </c>
      <c r="AJ39" s="32" t="s">
        <v>134</v>
      </c>
      <c r="AK39" s="32" t="s">
        <v>133</v>
      </c>
      <c r="AL39" s="32" t="s">
        <v>134</v>
      </c>
      <c r="AM39" s="32" t="s">
        <v>133</v>
      </c>
      <c r="AN39" s="32" t="s">
        <v>134</v>
      </c>
      <c r="AO39" s="32" t="s">
        <v>133</v>
      </c>
      <c r="AP39" s="32" t="s">
        <v>134</v>
      </c>
      <c r="AQ39" s="32" t="s">
        <v>133</v>
      </c>
      <c r="AR39" s="32" t="s">
        <v>134</v>
      </c>
      <c r="AS39" s="32" t="s">
        <v>133</v>
      </c>
      <c r="AT39" s="32" t="s">
        <v>134</v>
      </c>
      <c r="AU39" s="32" t="s">
        <v>133</v>
      </c>
      <c r="AV39" s="32" t="s">
        <v>134</v>
      </c>
      <c r="AW39" s="32" t="s">
        <v>133</v>
      </c>
      <c r="AX39" s="32" t="s">
        <v>134</v>
      </c>
      <c r="BJ39" s="52" t="s">
        <v>133</v>
      </c>
      <c r="BK39" s="52" t="s">
        <v>134</v>
      </c>
    </row>
    <row r="40" spans="1:63" x14ac:dyDescent="0.25">
      <c r="A40"/>
      <c r="B40" s="91" t="s">
        <v>169</v>
      </c>
      <c r="C40" s="24"/>
      <c r="D40" s="24"/>
      <c r="E40" s="24"/>
      <c r="F40" s="24"/>
      <c r="G40"/>
      <c r="H40" s="24" t="s">
        <v>22</v>
      </c>
      <c r="I40" s="24"/>
      <c r="J40" s="24"/>
      <c r="K40" s="24"/>
      <c r="L40" s="24"/>
      <c r="M40" s="24"/>
      <c r="N40" s="24"/>
      <c r="O40" s="24"/>
      <c r="P40"/>
      <c r="Q40" s="8"/>
      <c r="R40" s="110"/>
      <c r="S40" s="116" t="s">
        <v>87</v>
      </c>
      <c r="T40" s="3"/>
      <c r="U40" s="3"/>
      <c r="V40" s="3" t="s">
        <v>193</v>
      </c>
      <c r="Y40" s="70" t="s">
        <v>112</v>
      </c>
      <c r="Z40" s="3">
        <f>37.5^0.45</f>
        <v>5.1087431744234335</v>
      </c>
      <c r="AF40" s="36" t="s">
        <v>124</v>
      </c>
      <c r="AG40" s="37" t="s">
        <v>125</v>
      </c>
      <c r="AH40" s="76" t="s">
        <v>112</v>
      </c>
      <c r="AJ40" s="4">
        <v>100</v>
      </c>
      <c r="AW40"/>
      <c r="AX40"/>
      <c r="BJ40"/>
      <c r="BK40"/>
    </row>
    <row r="41" spans="1:63" x14ac:dyDescent="0.25">
      <c r="A41"/>
      <c r="B41" s="91" t="s">
        <v>145</v>
      </c>
      <c r="C41" s="24"/>
      <c r="D41" s="24"/>
      <c r="E41" s="24"/>
      <c r="F41" s="24"/>
      <c r="G41"/>
      <c r="H41" s="24"/>
      <c r="I41" s="24"/>
      <c r="J41" s="24"/>
      <c r="K41" s="24"/>
      <c r="L41" s="24"/>
      <c r="M41" s="24"/>
      <c r="N41" s="24"/>
      <c r="O41" s="24"/>
      <c r="P41"/>
      <c r="Q41" s="8"/>
      <c r="R41" s="110"/>
      <c r="S41" s="116" t="s">
        <v>199</v>
      </c>
      <c r="T41" s="3"/>
      <c r="U41" s="3"/>
      <c r="V41" s="3" t="s">
        <v>194</v>
      </c>
      <c r="Y41" s="70"/>
      <c r="Z41" s="3"/>
      <c r="AF41" s="36"/>
      <c r="AG41" s="37"/>
      <c r="AH41" s="77"/>
      <c r="AW41"/>
      <c r="AX41"/>
      <c r="BJ41"/>
      <c r="BK41"/>
    </row>
    <row r="42" spans="1:63" x14ac:dyDescent="0.25">
      <c r="A42"/>
      <c r="B42" s="91" t="s">
        <v>167</v>
      </c>
      <c r="C42" s="24"/>
      <c r="D42" s="24"/>
      <c r="E42" s="24"/>
      <c r="F42" s="24"/>
      <c r="G42"/>
      <c r="H42" s="24"/>
      <c r="I42" s="24"/>
      <c r="J42" s="24"/>
      <c r="K42" s="24"/>
      <c r="L42" s="24"/>
      <c r="M42" s="8"/>
      <c r="N42" s="24"/>
      <c r="O42" s="24"/>
      <c r="P42"/>
      <c r="Q42"/>
      <c r="R42" s="110"/>
      <c r="S42" s="116" t="s">
        <v>198</v>
      </c>
      <c r="T42" s="3"/>
      <c r="U42" s="3"/>
      <c r="V42" s="3" t="s">
        <v>195</v>
      </c>
      <c r="Y42" s="70"/>
      <c r="Z42" s="3"/>
      <c r="AF42" s="36"/>
      <c r="AG42" s="37"/>
      <c r="AH42" s="78" t="s">
        <v>113</v>
      </c>
      <c r="AI42" s="4">
        <v>90</v>
      </c>
      <c r="AJ42" s="4">
        <v>100</v>
      </c>
      <c r="AL42" s="4">
        <v>100</v>
      </c>
      <c r="AP42" s="4">
        <v>100</v>
      </c>
      <c r="AW42"/>
      <c r="AX42"/>
      <c r="BJ42"/>
      <c r="BK42"/>
    </row>
    <row r="43" spans="1:63" ht="13.8" thickBot="1" x14ac:dyDescent="0.3">
      <c r="A43"/>
      <c r="B43" s="117"/>
      <c r="C43" s="44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24" t="s">
        <v>265</v>
      </c>
      <c r="Q43" s="118"/>
      <c r="R43" s="99"/>
      <c r="S43" s="119"/>
      <c r="T43" s="3"/>
      <c r="U43" s="3"/>
      <c r="Y43" s="70" t="s">
        <v>113</v>
      </c>
      <c r="Z43" s="3">
        <f>25^0.45</f>
        <v>4.2566996126039234</v>
      </c>
      <c r="AA43" s="3">
        <f>37.5^0.45</f>
        <v>5.1087431744234335</v>
      </c>
      <c r="AB43" s="3">
        <f>25^0.45</f>
        <v>4.2566996126039234</v>
      </c>
      <c r="AC43" s="3">
        <f>19^0.45</f>
        <v>3.7621761023862978</v>
      </c>
      <c r="AD43" s="3">
        <f>12.5^0.45</f>
        <v>3.116086507375345</v>
      </c>
      <c r="AE43" s="3">
        <f>9.5^0.45</f>
        <v>2.754074108566122</v>
      </c>
      <c r="AF43" s="38">
        <v>100</v>
      </c>
      <c r="AG43" s="36" t="b">
        <f>IF($N$6="1",AA43,IF($N$6="3/4",AB43,IF($N$6="1/2",AC43,IF($N$6="3/8",AD43,IF($N$6="No. 4",AE43)))))</f>
        <v>0</v>
      </c>
      <c r="AH43" s="78" t="s">
        <v>110</v>
      </c>
      <c r="AK43" s="4">
        <v>90</v>
      </c>
      <c r="AL43" s="4">
        <v>100</v>
      </c>
      <c r="AN43" s="4">
        <v>100</v>
      </c>
      <c r="AO43" s="4">
        <v>90</v>
      </c>
      <c r="AP43" s="4">
        <v>100</v>
      </c>
      <c r="AR43" s="4">
        <v>100</v>
      </c>
      <c r="AW43"/>
      <c r="AX43"/>
      <c r="BJ43"/>
      <c r="BK43"/>
    </row>
    <row r="44" spans="1:63" ht="13.8" thickBot="1" x14ac:dyDescent="0.3">
      <c r="A44"/>
      <c r="B44" s="44"/>
      <c r="C44" s="44"/>
      <c r="D44" s="44"/>
      <c r="E44" s="112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112"/>
      <c r="S44" s="44"/>
      <c r="T44" s="3"/>
      <c r="U44" s="3"/>
      <c r="Y44" s="70" t="s">
        <v>109</v>
      </c>
      <c r="Z44" s="3">
        <f>12.5^0.45</f>
        <v>3.116086507375345</v>
      </c>
      <c r="AF44" s="4">
        <v>0</v>
      </c>
      <c r="AG44" s="4">
        <v>0</v>
      </c>
      <c r="AH44" s="78" t="s">
        <v>109</v>
      </c>
      <c r="AM44" s="4">
        <v>90</v>
      </c>
      <c r="AN44" s="4">
        <v>100</v>
      </c>
      <c r="AO44" s="4">
        <v>50</v>
      </c>
      <c r="AP44" s="4">
        <v>88</v>
      </c>
      <c r="AQ44" s="4">
        <v>90</v>
      </c>
      <c r="AR44" s="4">
        <v>100</v>
      </c>
      <c r="AT44" s="4">
        <v>100</v>
      </c>
      <c r="AV44" s="4">
        <v>100</v>
      </c>
      <c r="AW44"/>
      <c r="AX44">
        <v>100</v>
      </c>
      <c r="BJ44"/>
      <c r="BK44"/>
    </row>
    <row r="45" spans="1:63" x14ac:dyDescent="0.25">
      <c r="A45"/>
      <c r="B45" s="178">
        <f>B1</f>
        <v>0</v>
      </c>
      <c r="C45" s="179"/>
      <c r="D45" s="180"/>
      <c r="E45" s="180"/>
      <c r="F45" s="180"/>
      <c r="G45" s="180"/>
      <c r="H45" s="180"/>
      <c r="I45" s="24"/>
      <c r="J45" s="24"/>
      <c r="K45" s="24"/>
      <c r="L45" s="24"/>
      <c r="M45" s="24"/>
      <c r="N45" s="24"/>
      <c r="O45" s="24"/>
      <c r="P45" s="120" t="s">
        <v>62</v>
      </c>
      <c r="Q45" s="50"/>
      <c r="R45" s="103">
        <f>R1</f>
        <v>0</v>
      </c>
      <c r="S45" s="121"/>
      <c r="T45" s="3"/>
      <c r="U45" s="3"/>
      <c r="Y45" s="70" t="s">
        <v>108</v>
      </c>
      <c r="Z45" s="3">
        <f>9.5^0.45</f>
        <v>2.754074108566122</v>
      </c>
      <c r="AH45" s="78" t="s">
        <v>108</v>
      </c>
      <c r="AO45" s="4">
        <v>25</v>
      </c>
      <c r="AP45" s="4">
        <v>60</v>
      </c>
      <c r="AQ45" s="4">
        <v>50</v>
      </c>
      <c r="AR45" s="4">
        <v>80</v>
      </c>
      <c r="AS45" s="4">
        <v>90</v>
      </c>
      <c r="AT45" s="4">
        <v>100</v>
      </c>
      <c r="AV45" s="4">
        <v>100</v>
      </c>
      <c r="AW45" s="4">
        <v>90</v>
      </c>
      <c r="AX45" s="4">
        <v>100</v>
      </c>
      <c r="BJ45"/>
      <c r="BK45">
        <v>100</v>
      </c>
    </row>
    <row r="46" spans="1:63" x14ac:dyDescent="0.25">
      <c r="A46"/>
      <c r="B46" s="120" t="str">
        <f>B2</f>
        <v>Laboratory Design for Asphalt</v>
      </c>
      <c r="C46" s="5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20"/>
      <c r="Q46" s="50"/>
      <c r="R46" s="122"/>
      <c r="S46" s="121"/>
      <c r="T46" s="3"/>
      <c r="U46" s="3"/>
      <c r="Y46" s="70" t="s">
        <v>105</v>
      </c>
      <c r="Z46" s="3">
        <f>4.75^0.45</f>
        <v>2.0161002539629291</v>
      </c>
      <c r="AH46" s="77" t="s">
        <v>173</v>
      </c>
      <c r="AO46" s="4">
        <v>20</v>
      </c>
      <c r="AP46" s="4">
        <v>28</v>
      </c>
      <c r="AQ46" s="4">
        <v>20</v>
      </c>
      <c r="AR46" s="4">
        <v>35</v>
      </c>
      <c r="AS46" s="4">
        <v>26</v>
      </c>
      <c r="AT46" s="4">
        <v>60</v>
      </c>
      <c r="AU46" s="4">
        <v>90</v>
      </c>
      <c r="AV46" s="4">
        <v>100</v>
      </c>
      <c r="AW46"/>
      <c r="AX46"/>
      <c r="BJ46">
        <v>90</v>
      </c>
      <c r="BK46">
        <v>100</v>
      </c>
    </row>
    <row r="47" spans="1:63" ht="13.8" thickBot="1" x14ac:dyDescent="0.3">
      <c r="A47"/>
      <c r="B47" s="123"/>
      <c r="C47" s="12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25"/>
      <c r="Q47" s="44"/>
      <c r="R47" s="124"/>
      <c r="S47" s="126"/>
      <c r="T47" s="3"/>
      <c r="U47" s="3"/>
      <c r="Y47" s="70" t="s">
        <v>114</v>
      </c>
      <c r="Z47" s="3">
        <f>2.36^0.45</f>
        <v>1.4716698795820382</v>
      </c>
      <c r="AH47" s="77" t="s">
        <v>174</v>
      </c>
      <c r="AI47" s="4">
        <v>19</v>
      </c>
      <c r="AJ47" s="4">
        <v>45</v>
      </c>
      <c r="AK47" s="4">
        <v>23</v>
      </c>
      <c r="AL47" s="4">
        <v>49</v>
      </c>
      <c r="AM47" s="4">
        <v>28</v>
      </c>
      <c r="AN47" s="4">
        <v>58</v>
      </c>
      <c r="AO47" s="32">
        <v>16</v>
      </c>
      <c r="AP47" s="4">
        <v>24</v>
      </c>
      <c r="AQ47" s="4">
        <v>16</v>
      </c>
      <c r="AR47" s="4">
        <v>24</v>
      </c>
      <c r="AS47" s="4">
        <v>20</v>
      </c>
      <c r="AT47" s="4">
        <v>28</v>
      </c>
      <c r="AU47" s="4">
        <v>28</v>
      </c>
      <c r="AV47" s="4">
        <v>65</v>
      </c>
      <c r="AW47" s="4">
        <v>28</v>
      </c>
      <c r="AX47" s="4">
        <v>58</v>
      </c>
      <c r="BJ47"/>
      <c r="BK47"/>
    </row>
    <row r="48" spans="1:63" x14ac:dyDescent="0.25">
      <c r="A48"/>
      <c r="B48" s="120" t="s">
        <v>67</v>
      </c>
      <c r="C48" s="5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1"/>
      <c r="T48" s="3"/>
      <c r="U48" s="3"/>
      <c r="Y48" s="70" t="s">
        <v>115</v>
      </c>
      <c r="Z48" s="3">
        <f>1.18^0.45</f>
        <v>1.0773254099250416</v>
      </c>
      <c r="AH48" s="77" t="s">
        <v>175</v>
      </c>
      <c r="AU48" s="4">
        <v>22</v>
      </c>
      <c r="AV48" s="4">
        <v>36</v>
      </c>
      <c r="AW48"/>
      <c r="AX48"/>
      <c r="BJ48">
        <v>30</v>
      </c>
      <c r="BK48">
        <v>54</v>
      </c>
    </row>
    <row r="49" spans="1:63" x14ac:dyDescent="0.25">
      <c r="A49"/>
      <c r="B49" s="120"/>
      <c r="C49" s="50"/>
      <c r="D49" s="24" t="s">
        <v>51</v>
      </c>
      <c r="E49" s="18"/>
      <c r="F49" s="61" t="s">
        <v>52</v>
      </c>
      <c r="G49" s="19"/>
      <c r="H49" s="24" t="s">
        <v>53</v>
      </c>
      <c r="I49" s="24"/>
      <c r="J49" s="24"/>
      <c r="K49" s="24"/>
      <c r="L49" s="24"/>
      <c r="M49" s="24"/>
      <c r="N49" s="24"/>
      <c r="O49" s="24"/>
      <c r="P49" s="24"/>
      <c r="Q49"/>
      <c r="R49" s="24" t="s">
        <v>147</v>
      </c>
      <c r="S49" s="121"/>
      <c r="T49" s="3"/>
      <c r="U49" s="3"/>
      <c r="Y49" s="70" t="s">
        <v>119</v>
      </c>
      <c r="Z49" s="3">
        <f>0.6^0.45</f>
        <v>0.79463568224020453</v>
      </c>
      <c r="AH49" s="77" t="s">
        <v>176</v>
      </c>
      <c r="AO49" s="4">
        <v>12</v>
      </c>
      <c r="AP49" s="4">
        <v>18</v>
      </c>
      <c r="AQ49" s="4">
        <v>12</v>
      </c>
      <c r="AR49" s="4">
        <v>18</v>
      </c>
      <c r="AS49" s="4">
        <v>12</v>
      </c>
      <c r="AT49" s="4">
        <v>18</v>
      </c>
      <c r="AU49" s="4">
        <v>18</v>
      </c>
      <c r="AV49" s="4">
        <v>28</v>
      </c>
      <c r="AW49"/>
      <c r="AX49"/>
      <c r="BJ49"/>
      <c r="BK49"/>
    </row>
    <row r="50" spans="1:63" x14ac:dyDescent="0.25">
      <c r="A50"/>
      <c r="B50" s="127"/>
      <c r="C50" s="24"/>
      <c r="D50" s="24" t="s">
        <v>81</v>
      </c>
      <c r="E50" s="24"/>
      <c r="F50" s="24"/>
      <c r="G50" s="24"/>
      <c r="H50" s="19"/>
      <c r="I50" s="19"/>
      <c r="J50" s="19"/>
      <c r="K50" s="19"/>
      <c r="L50" s="19"/>
      <c r="M50" s="19"/>
      <c r="N50" s="24" t="s">
        <v>57</v>
      </c>
      <c r="O50" s="24"/>
      <c r="P50" s="24"/>
      <c r="Q50" s="24"/>
      <c r="R50" s="29">
        <f>G49</f>
        <v>0</v>
      </c>
      <c r="S50" s="121" t="s">
        <v>148</v>
      </c>
      <c r="T50" s="3"/>
      <c r="U50" s="3"/>
      <c r="Y50" s="70" t="s">
        <v>116</v>
      </c>
      <c r="Z50" s="3">
        <f>0.3^0.45</f>
        <v>0.58170736792793831</v>
      </c>
      <c r="AH50" s="77" t="s">
        <v>177</v>
      </c>
      <c r="AS50" s="4">
        <v>10</v>
      </c>
      <c r="AT50" s="4">
        <v>15</v>
      </c>
      <c r="AU50" s="4">
        <v>15</v>
      </c>
      <c r="AV50" s="4">
        <v>22</v>
      </c>
      <c r="AW50"/>
      <c r="AX50"/>
      <c r="BJ50"/>
      <c r="BK50"/>
    </row>
    <row r="51" spans="1:63" x14ac:dyDescent="0.25">
      <c r="A51"/>
      <c r="B51" s="127"/>
      <c r="C51" s="24"/>
      <c r="D51" s="24" t="s">
        <v>64</v>
      </c>
      <c r="E51" s="24"/>
      <c r="F51" s="24"/>
      <c r="G51" s="24"/>
      <c r="H51" s="25" t="e">
        <f>100/((100-H50)/((100-G49)/((100/E49)-(G49/Q36)))+((H50)/Q36))</f>
        <v>#DIV/0!</v>
      </c>
      <c r="I51" s="25" t="e">
        <f>100/((100-I50)/((100-G49)/((100/E49)-(G49/Q36)))+((I50/Q36)))</f>
        <v>#DIV/0!</v>
      </c>
      <c r="J51" s="25" t="e">
        <f>100/((100-J50)/((100-G49)/((100/E49)-(G49/Q36)))+((J50/Q36)))</f>
        <v>#DIV/0!</v>
      </c>
      <c r="K51" s="25"/>
      <c r="L51" s="25" t="e">
        <f>100/((100-L50)/((100-G49)/((100/E49)-(G49/Q36)))+((L50/Q36)))</f>
        <v>#DIV/0!</v>
      </c>
      <c r="M51" s="25"/>
      <c r="N51" s="24"/>
      <c r="O51" s="24"/>
      <c r="P51" s="24"/>
      <c r="Q51" s="24"/>
      <c r="R51" s="25" t="e">
        <f>100/((100-$R$50)/((100-$G$49)/((100/$E$49)-($G$49/$Q$36)))+($R$50/$Q$36))</f>
        <v>#DIV/0!</v>
      </c>
      <c r="S51" s="121" t="s">
        <v>149</v>
      </c>
      <c r="T51" s="3"/>
      <c r="U51" s="3"/>
      <c r="Y51" s="70" t="s">
        <v>117</v>
      </c>
      <c r="Z51" s="3">
        <f>0.15^0.45</f>
        <v>0.42583471830473674</v>
      </c>
      <c r="AH51" s="77" t="s">
        <v>178</v>
      </c>
      <c r="AW51"/>
      <c r="AX51"/>
      <c r="BJ51"/>
      <c r="BK51"/>
    </row>
    <row r="52" spans="1:63" x14ac:dyDescent="0.25">
      <c r="A52"/>
      <c r="B52" s="120" t="s">
        <v>23</v>
      </c>
      <c r="C52" s="5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21"/>
      <c r="T52" s="3"/>
      <c r="U52" s="3"/>
      <c r="Y52" s="70" t="s">
        <v>118</v>
      </c>
      <c r="Z52" s="3">
        <f>0.075^0.45</f>
        <v>0.31172925995349998</v>
      </c>
      <c r="AH52" s="77" t="s">
        <v>179</v>
      </c>
      <c r="AI52" s="4">
        <v>1</v>
      </c>
      <c r="AJ52" s="4">
        <v>7</v>
      </c>
      <c r="AK52" s="4">
        <v>2</v>
      </c>
      <c r="AL52" s="4">
        <v>8</v>
      </c>
      <c r="AM52" s="4">
        <v>2</v>
      </c>
      <c r="AN52" s="4">
        <v>10</v>
      </c>
      <c r="AO52" s="4">
        <v>8</v>
      </c>
      <c r="AP52" s="4">
        <v>11</v>
      </c>
      <c r="AQ52" s="32">
        <v>8</v>
      </c>
      <c r="AR52" s="4">
        <v>11</v>
      </c>
      <c r="AS52" s="4">
        <v>8</v>
      </c>
      <c r="AT52" s="4">
        <v>12</v>
      </c>
      <c r="AU52" s="4">
        <v>12</v>
      </c>
      <c r="AV52" s="4">
        <v>15</v>
      </c>
      <c r="AW52" s="4">
        <v>2</v>
      </c>
      <c r="AX52" s="4">
        <v>10</v>
      </c>
      <c r="BJ52">
        <v>2</v>
      </c>
      <c r="BK52">
        <v>12</v>
      </c>
    </row>
    <row r="53" spans="1:63" x14ac:dyDescent="0.25">
      <c r="A53"/>
      <c r="B53" s="127"/>
      <c r="C53" s="24"/>
      <c r="D53" s="24" t="s">
        <v>24</v>
      </c>
      <c r="E53" s="24"/>
      <c r="F53" s="24"/>
      <c r="G53" s="24"/>
      <c r="H53" s="18"/>
      <c r="I53" s="18"/>
      <c r="J53" s="18"/>
      <c r="K53" s="18"/>
      <c r="L53" s="18"/>
      <c r="M53" s="18"/>
      <c r="N53" s="24"/>
      <c r="O53" s="24"/>
      <c r="P53" s="24"/>
      <c r="Q53" s="24"/>
      <c r="R53" s="25" t="e">
        <f>R51-((R56*R51)/100)</f>
        <v>#DIV/0!</v>
      </c>
      <c r="S53" s="121" t="s">
        <v>150</v>
      </c>
      <c r="T53" s="3"/>
      <c r="U53" s="3"/>
      <c r="AW53"/>
      <c r="AX53"/>
      <c r="BJ53"/>
      <c r="BK53"/>
    </row>
    <row r="54" spans="1:63" x14ac:dyDescent="0.25">
      <c r="A54"/>
      <c r="B54" s="127"/>
      <c r="C54" s="24"/>
      <c r="D54" s="24" t="s">
        <v>25</v>
      </c>
      <c r="E54" s="24"/>
      <c r="F54" s="24"/>
      <c r="G54" s="24"/>
      <c r="H54" s="20"/>
      <c r="I54" s="20"/>
      <c r="J54" s="20"/>
      <c r="K54" s="20"/>
      <c r="L54" s="20"/>
      <c r="M54" s="20"/>
      <c r="N54" s="24"/>
      <c r="O54" s="24"/>
      <c r="P54" s="24"/>
      <c r="Q54" s="24"/>
      <c r="R54" s="24"/>
      <c r="S54" s="121"/>
      <c r="T54" s="3"/>
      <c r="U54" s="3"/>
      <c r="AW54"/>
      <c r="AX54"/>
      <c r="BJ54"/>
      <c r="BK54"/>
    </row>
    <row r="55" spans="1:63" x14ac:dyDescent="0.25">
      <c r="A55"/>
      <c r="B55" s="120" t="s">
        <v>26</v>
      </c>
      <c r="C55" s="5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50" t="s">
        <v>31</v>
      </c>
      <c r="P55"/>
      <c r="Q55" s="50"/>
      <c r="R55" s="24"/>
      <c r="S55" s="121"/>
      <c r="T55" s="3"/>
      <c r="U55" s="3"/>
      <c r="AW55"/>
      <c r="AX55"/>
      <c r="BJ55"/>
      <c r="BK55"/>
    </row>
    <row r="56" spans="1:63" x14ac:dyDescent="0.25">
      <c r="A56"/>
      <c r="B56" s="127"/>
      <c r="C56" s="24"/>
      <c r="D56" s="24" t="s">
        <v>27</v>
      </c>
      <c r="E56" s="24"/>
      <c r="F56" s="24"/>
      <c r="G56" s="24"/>
      <c r="H56" s="26" t="e">
        <f>100*(H51-H53)/H51</f>
        <v>#DIV/0!</v>
      </c>
      <c r="I56" s="26" t="e">
        <f>100*(I51-I53)/I51</f>
        <v>#DIV/0!</v>
      </c>
      <c r="J56" s="26" t="e">
        <f>100*(J51-J53)/J51</f>
        <v>#DIV/0!</v>
      </c>
      <c r="K56" s="26"/>
      <c r="L56" s="26" t="e">
        <f>100*(L51-L53)/L51</f>
        <v>#DIV/0!</v>
      </c>
      <c r="M56" s="26"/>
      <c r="N56" s="24" t="s">
        <v>57</v>
      </c>
      <c r="O56" s="129" t="str">
        <f>IF($J$6="SMA 3/4","3% to 4%",IF($J$6="SMA 1/2","3% to 4%",IF($J$6="SMA 3/8","3% to 4%",IF($J$6="SMA No. 4","3% to 4%",IF(AND($J$6="ST",R3=5),"2% to 3%",IF(AND(R3=5,$J$6="SX"),"3% to 4%",IF(AND(R3=5,$J$6="SF"),"3% to 4%",IF(AND(R3=5,$J$6="S"),"3% to 4%",IF(AND(R3=5,$J$6="SG"),"3% to 4%",IF(AND(R3=5,$J$6="SMA 3/4"),"3% to 4%",IF(AND(R3=5,$J$6="SMA 1/2"),"3% to 4%",IF(AND(R3=5,$J$6="SMA 3/8"),"3% to 4%",IF(AND(R3=5,$J$6="SMA No. 4"),"3% to 4%",IF(AND(R3=1,$J$6="SF"),"4% to 5%",IF(AND(R3=2,$J$6="SF"),"4% to 5%",IF(AND(R3=3,$J$6="SF"),"4% to 5%",IF(AND(R3=4,$J$6="SF"),"4% to 5%",IF(AND(R3=6,$J$6="SF"),"4% to 5%","3.5% to 4.5%"))))))))))))))))))</f>
        <v>3.5% to 4.5%</v>
      </c>
      <c r="P56"/>
      <c r="Q56" s="61"/>
      <c r="R56" s="40"/>
      <c r="S56" s="121" t="s">
        <v>151</v>
      </c>
      <c r="T56" s="3"/>
      <c r="U56" s="3"/>
      <c r="AW56"/>
      <c r="AX56"/>
      <c r="BJ56"/>
      <c r="BK56"/>
    </row>
    <row r="57" spans="1:63" x14ac:dyDescent="0.25">
      <c r="A57"/>
      <c r="B57" s="120" t="s">
        <v>28</v>
      </c>
      <c r="C57" s="5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30" t="s">
        <v>32</v>
      </c>
      <c r="P57"/>
      <c r="Q57" s="130"/>
      <c r="R57" s="24"/>
      <c r="S57" s="121"/>
      <c r="T57" s="3"/>
      <c r="U57" s="3"/>
      <c r="AW57"/>
      <c r="AX57"/>
      <c r="BJ57"/>
      <c r="BK57"/>
    </row>
    <row r="58" spans="1:63" x14ac:dyDescent="0.25">
      <c r="A58"/>
      <c r="B58" s="127"/>
      <c r="C58" s="24"/>
      <c r="D58" s="24" t="s">
        <v>29</v>
      </c>
      <c r="E58" s="24"/>
      <c r="F58" s="24"/>
      <c r="G58" s="24"/>
      <c r="H58" s="26" t="e">
        <f>100-((H53*(100-H50)))/$Q$30</f>
        <v>#DIV/0!</v>
      </c>
      <c r="I58" s="26" t="e">
        <f t="shared" ref="I58:L58" si="5">100-((I53*(100-I50)))/$Q$30</f>
        <v>#DIV/0!</v>
      </c>
      <c r="J58" s="26" t="e">
        <f t="shared" si="5"/>
        <v>#DIV/0!</v>
      </c>
      <c r="K58" s="26"/>
      <c r="L58" s="26" t="e">
        <f t="shared" si="5"/>
        <v>#DIV/0!</v>
      </c>
      <c r="M58" s="26"/>
      <c r="N58" s="24" t="s">
        <v>57</v>
      </c>
      <c r="O58" s="39"/>
      <c r="P58"/>
      <c r="Q58" s="61"/>
      <c r="R58" s="26" t="e">
        <f>100-((R53*(100-R50))/Q30)</f>
        <v>#DIV/0!</v>
      </c>
      <c r="S58" s="121" t="s">
        <v>152</v>
      </c>
      <c r="T58" s="3"/>
      <c r="U58" s="3"/>
      <c r="AW58"/>
      <c r="AX58"/>
      <c r="BJ58"/>
      <c r="BK58"/>
    </row>
    <row r="59" spans="1:63" x14ac:dyDescent="0.25">
      <c r="A59"/>
      <c r="B59" s="127"/>
      <c r="C59" s="24"/>
      <c r="D59" s="24" t="s">
        <v>30</v>
      </c>
      <c r="E59" s="24"/>
      <c r="F59" s="24"/>
      <c r="G59" s="24"/>
      <c r="H59" s="27" t="e">
        <f>(100*(H58-H56))/H58</f>
        <v>#DIV/0!</v>
      </c>
      <c r="I59" s="27" t="e">
        <f>(100*(I58-I56))/I58</f>
        <v>#DIV/0!</v>
      </c>
      <c r="J59" s="27" t="e">
        <f>(100*(J58-J56))/J58</f>
        <v>#DIV/0!</v>
      </c>
      <c r="K59" s="27"/>
      <c r="L59" s="27" t="e">
        <f>(100*(L58-L56))/L58</f>
        <v>#DIV/0!</v>
      </c>
      <c r="M59" s="27"/>
      <c r="N59" s="24" t="s">
        <v>57</v>
      </c>
      <c r="O59" s="61" t="str">
        <f>IF(P6=75,"65-80%",IF(P6=50,"70-80%","65-75%"))</f>
        <v>65-75%</v>
      </c>
      <c r="P59"/>
      <c r="Q59" s="61"/>
      <c r="R59" s="27" t="e">
        <f>100*((R58-R56)/R58)</f>
        <v>#DIV/0!</v>
      </c>
      <c r="S59" s="121" t="s">
        <v>153</v>
      </c>
      <c r="T59" s="3"/>
      <c r="U59" s="3"/>
      <c r="AW59"/>
      <c r="AX59"/>
      <c r="BJ59"/>
      <c r="BK59"/>
    </row>
    <row r="60" spans="1:63" x14ac:dyDescent="0.25">
      <c r="A60"/>
      <c r="B60" s="127"/>
      <c r="C60" s="24"/>
      <c r="D60" s="24" t="s">
        <v>76</v>
      </c>
      <c r="E60" s="24"/>
      <c r="F60" s="24"/>
      <c r="G60" s="24"/>
      <c r="H60" s="28" t="e">
        <f>(100-H50)/((100/H51)-(H50/$Q$36))</f>
        <v>#DIV/0!</v>
      </c>
      <c r="I60" s="28" t="e">
        <f>(100-I50)/((100/I51)-(I50/$Q$36))</f>
        <v>#DIV/0!</v>
      </c>
      <c r="J60" s="28" t="e">
        <f>(100-J50)/((100/J51)-(J50/$Q$36))</f>
        <v>#DIV/0!</v>
      </c>
      <c r="K60" s="28"/>
      <c r="L60" s="28" t="e">
        <f>(100-L50)/((100/L51)-(L50/$Q$36))</f>
        <v>#DIV/0!</v>
      </c>
      <c r="M60" s="28"/>
      <c r="N60" s="24"/>
      <c r="O60" s="61"/>
      <c r="P60"/>
      <c r="Q60" s="61"/>
      <c r="R60" s="24"/>
      <c r="S60" s="121"/>
      <c r="T60" s="3"/>
      <c r="U60" s="3"/>
      <c r="AW60"/>
      <c r="AX60"/>
      <c r="BJ60"/>
      <c r="BK60"/>
    </row>
    <row r="61" spans="1:63" x14ac:dyDescent="0.25">
      <c r="A61"/>
      <c r="B61" s="127"/>
      <c r="C61" s="24"/>
      <c r="D61" s="24" t="s">
        <v>88</v>
      </c>
      <c r="E61" s="24"/>
      <c r="F61" s="24"/>
      <c r="G61" s="24"/>
      <c r="H61" s="29" t="e">
        <f>-((100-H50)*$Q$36)*((H60-$Q$30)/(H60*$Q$30))+H50</f>
        <v>#DIV/0!</v>
      </c>
      <c r="I61" s="29" t="e">
        <f>-((100-I50)*$Q$36)*((I60-$Q$30)/(I60*$Q$30))+I50</f>
        <v>#DIV/0!</v>
      </c>
      <c r="J61" s="29" t="e">
        <f>-((100-J50)*$Q$36)*((J60-$Q$30)/(J60*$Q$30))+J50</f>
        <v>#DIV/0!</v>
      </c>
      <c r="K61" s="29"/>
      <c r="L61" s="29" t="e">
        <f>-((100-$L$50)*$Q$36)*(($L$60-$Q$30)/($L$60*$Q$30))+$L$50</f>
        <v>#DIV/0!</v>
      </c>
      <c r="M61" s="29"/>
      <c r="N61" s="24"/>
      <c r="O61" s="61"/>
      <c r="P61"/>
      <c r="Q61" s="61"/>
      <c r="R61" s="29" t="e">
        <f>-((100-$R$50)*$Q$36)*(($Q$33-$Q$30)/($Q$33*$Q$30))+$R$50</f>
        <v>#DIV/0!</v>
      </c>
      <c r="S61" s="121" t="s">
        <v>156</v>
      </c>
      <c r="T61" s="3"/>
      <c r="U61" s="3"/>
      <c r="AW61"/>
      <c r="AX61"/>
      <c r="BJ61"/>
      <c r="BK61"/>
    </row>
    <row r="62" spans="1:63" x14ac:dyDescent="0.25">
      <c r="A62"/>
      <c r="B62" s="127"/>
      <c r="C62" s="24"/>
      <c r="D62" s="24" t="s">
        <v>58</v>
      </c>
      <c r="E62" s="24"/>
      <c r="F62" s="24"/>
      <c r="G62" s="24"/>
      <c r="H62" s="29" t="e">
        <f>($Q$28-1)/H61</f>
        <v>#DIV/0!</v>
      </c>
      <c r="I62" s="29" t="e">
        <f>($Q$28-1)/I61</f>
        <v>#DIV/0!</v>
      </c>
      <c r="J62" s="29" t="e">
        <f>($Q$28-1)/J61</f>
        <v>#DIV/0!</v>
      </c>
      <c r="K62" s="29"/>
      <c r="L62" s="29" t="e">
        <f>($Q$28-1)/L61</f>
        <v>#DIV/0!</v>
      </c>
      <c r="M62" s="29"/>
      <c r="N62" s="24"/>
      <c r="O62" s="143"/>
      <c r="P62" s="33"/>
      <c r="Q62" s="61"/>
      <c r="R62" s="29" t="e">
        <f>($Q$28-1)/R61</f>
        <v>#DIV/0!</v>
      </c>
      <c r="S62" s="121" t="s">
        <v>154</v>
      </c>
      <c r="T62" s="3"/>
      <c r="U62" s="3"/>
      <c r="AW62"/>
      <c r="AX62"/>
      <c r="BJ62"/>
      <c r="BK62"/>
    </row>
    <row r="63" spans="1:63" x14ac:dyDescent="0.25">
      <c r="A63"/>
      <c r="B63" s="127"/>
      <c r="C63" s="24"/>
      <c r="D63" s="24" t="s">
        <v>207</v>
      </c>
      <c r="E63" s="24"/>
      <c r="F63" s="24"/>
      <c r="G63" s="24"/>
      <c r="H63" s="5"/>
      <c r="I63" s="5"/>
      <c r="J63" s="5"/>
      <c r="K63" s="5"/>
      <c r="L63" s="5"/>
      <c r="M63" s="5"/>
      <c r="N63" s="24"/>
      <c r="O63" s="61" t="e">
        <f>IF(P6=75,"28",IF(P6=100,"30",IF(P6=125,"30",NA())))</f>
        <v>#N/A</v>
      </c>
      <c r="P63"/>
      <c r="Q63" s="61"/>
      <c r="R63" s="40"/>
      <c r="S63" s="121" t="s">
        <v>155</v>
      </c>
      <c r="T63" s="3"/>
      <c r="U63" s="3"/>
      <c r="AW63"/>
      <c r="AX63"/>
      <c r="BJ63"/>
      <c r="BK63"/>
    </row>
    <row r="64" spans="1:63" x14ac:dyDescent="0.25">
      <c r="A64"/>
      <c r="B64" s="12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1"/>
      <c r="P64"/>
      <c r="Q64" s="61"/>
      <c r="R64" s="24"/>
      <c r="S64" s="121"/>
      <c r="T64" s="3"/>
      <c r="U64" s="3"/>
      <c r="AW64"/>
      <c r="AX64"/>
      <c r="BJ64"/>
      <c r="BK64"/>
    </row>
    <row r="65" spans="1:63" ht="21.6" thickBot="1" x14ac:dyDescent="0.3">
      <c r="A65"/>
      <c r="B65" s="125"/>
      <c r="C65" s="44"/>
      <c r="D65" s="44" t="s">
        <v>208</v>
      </c>
      <c r="E65" s="44"/>
      <c r="F65" s="44"/>
      <c r="G65" s="44"/>
      <c r="H65" s="49" t="e">
        <f>(($N$13*$N$16)+($O$13*$O$16)+($P$13*$P$16))/H61</f>
        <v>#DIV/0!</v>
      </c>
      <c r="I65" s="49" t="e">
        <f>(($N$13*$N$16)+($O$13*$O$16)+($P$13*$P$16))/I61</f>
        <v>#DIV/0!</v>
      </c>
      <c r="J65" s="49" t="e">
        <f>(($N$13*$N$16)+($O$13*$O$16)+($P$13*$P$16))/J61</f>
        <v>#DIV/0!</v>
      </c>
      <c r="K65" s="49"/>
      <c r="L65" s="49" t="e">
        <f>(($N$13*$N$16)+($O$13*$O$16)+($P$13*$P$16))/L61</f>
        <v>#DIV/0!</v>
      </c>
      <c r="M65" s="44" t="e">
        <f>(($N$13*$N$16)+($O$13*$O$16)+($P$13*$P$16))/M61</f>
        <v>#DIV/0!</v>
      </c>
      <c r="N65" s="44"/>
      <c r="O65" s="139" t="s">
        <v>235</v>
      </c>
      <c r="P65" s="99"/>
      <c r="Q65" s="118"/>
      <c r="R65" s="49" t="e">
        <f>(($N$13*$N$16)+($O$13*$O$16)+($P$13*$P$16))/R61</f>
        <v>#DIV/0!</v>
      </c>
      <c r="S65" s="138" t="s">
        <v>235</v>
      </c>
      <c r="T65" s="3"/>
      <c r="U65" s="3"/>
      <c r="AW65"/>
      <c r="AX65"/>
      <c r="BJ65"/>
      <c r="BK65"/>
    </row>
    <row r="66" spans="1:63" hidden="1" x14ac:dyDescent="0.25">
      <c r="A66"/>
      <c r="B66" s="120" t="s">
        <v>33</v>
      </c>
      <c r="C66" s="5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21"/>
      <c r="T66" s="3"/>
      <c r="U66" s="3"/>
      <c r="AW66"/>
      <c r="AX66"/>
      <c r="BJ66"/>
      <c r="BK66"/>
    </row>
    <row r="67" spans="1:63" hidden="1" x14ac:dyDescent="0.25">
      <c r="A67"/>
      <c r="B67" s="127"/>
      <c r="C67" s="24"/>
      <c r="D67" s="24" t="s">
        <v>34</v>
      </c>
      <c r="E67" s="24"/>
      <c r="F67" s="24"/>
      <c r="G67" s="24"/>
      <c r="H67" s="131">
        <v>5.2</v>
      </c>
      <c r="I67" s="24"/>
      <c r="J67" s="24" t="s">
        <v>36</v>
      </c>
      <c r="K67" s="24"/>
      <c r="L67" s="24"/>
      <c r="M67" s="24"/>
      <c r="N67" s="132">
        <v>4</v>
      </c>
      <c r="O67" s="24"/>
      <c r="P67"/>
      <c r="Q67" s="73"/>
      <c r="R67"/>
      <c r="S67" s="121"/>
      <c r="T67" s="3"/>
      <c r="U67" s="3"/>
      <c r="AW67"/>
      <c r="AX67"/>
      <c r="BJ67"/>
      <c r="BK67"/>
    </row>
    <row r="68" spans="1:63" hidden="1" x14ac:dyDescent="0.25">
      <c r="A68"/>
      <c r="B68" s="127"/>
      <c r="C68" s="24"/>
      <c r="D68" s="24" t="s">
        <v>35</v>
      </c>
      <c r="E68" s="24"/>
      <c r="F68" s="24"/>
      <c r="G68" s="24"/>
      <c r="H68" s="25" t="e">
        <f>100/((100-$H$67)/((100-$G$49)/((100/$E$49)-($G$49/$Q$36)))+($H$67/$Q$36))</f>
        <v>#DIV/0!</v>
      </c>
      <c r="I68" s="24"/>
      <c r="J68" s="24" t="s">
        <v>37</v>
      </c>
      <c r="K68" s="24"/>
      <c r="L68" s="24"/>
      <c r="M68" s="24"/>
      <c r="N68" s="128">
        <v>15</v>
      </c>
      <c r="O68" s="24"/>
      <c r="P68"/>
      <c r="Q68" s="26"/>
      <c r="R68"/>
      <c r="S68" s="121"/>
      <c r="T68" s="3"/>
      <c r="U68" s="3"/>
      <c r="AW68"/>
      <c r="AX68"/>
      <c r="BJ68"/>
      <c r="BK68"/>
    </row>
    <row r="69" spans="1:63" ht="13.8" hidden="1" thickBot="1" x14ac:dyDescent="0.3">
      <c r="A69"/>
      <c r="B69" s="125"/>
      <c r="C69" s="44"/>
      <c r="D69" s="44" t="s">
        <v>90</v>
      </c>
      <c r="E69" s="44"/>
      <c r="F69" s="44"/>
      <c r="G69" s="44"/>
      <c r="H69" s="31"/>
      <c r="I69" s="44"/>
      <c r="J69" s="44"/>
      <c r="K69" s="44"/>
      <c r="L69" s="44"/>
      <c r="M69" s="44"/>
      <c r="N69" s="44"/>
      <c r="O69" s="44"/>
      <c r="P69" s="49"/>
      <c r="Q69" s="49"/>
      <c r="R69" s="99"/>
      <c r="S69" s="126"/>
      <c r="T69" s="3"/>
      <c r="U69" s="3"/>
      <c r="AW69"/>
      <c r="AX69"/>
      <c r="BJ69"/>
      <c r="BK69"/>
    </row>
    <row r="70" spans="1:63" x14ac:dyDescent="0.25">
      <c r="A70"/>
      <c r="B70" s="120" t="s">
        <v>38</v>
      </c>
      <c r="C70" s="50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50" t="s">
        <v>43</v>
      </c>
      <c r="O70" s="50"/>
      <c r="P70" s="24"/>
      <c r="Q70" s="24"/>
      <c r="R70" s="24"/>
      <c r="S70" s="121"/>
      <c r="T70" s="3"/>
      <c r="U70" s="3"/>
      <c r="AW70"/>
      <c r="AX70"/>
      <c r="BJ70"/>
      <c r="BK70"/>
    </row>
    <row r="71" spans="1:63" x14ac:dyDescent="0.25">
      <c r="A71"/>
      <c r="B71" s="127"/>
      <c r="C71" s="24"/>
      <c r="D71" s="24" t="s">
        <v>50</v>
      </c>
      <c r="E71" s="24"/>
      <c r="F71" s="24"/>
      <c r="G71" s="24"/>
      <c r="H71" s="29">
        <f>+R50</f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121"/>
      <c r="T71" s="3"/>
      <c r="U71" s="3"/>
      <c r="AW71"/>
      <c r="AX71"/>
      <c r="BJ71"/>
      <c r="BK71"/>
    </row>
    <row r="72" spans="1:63" x14ac:dyDescent="0.25">
      <c r="A72"/>
      <c r="B72" s="127"/>
      <c r="C72" s="24"/>
      <c r="D72" s="24" t="s">
        <v>89</v>
      </c>
      <c r="E72" s="24"/>
      <c r="F72" s="24"/>
      <c r="G72" s="24"/>
      <c r="H72" s="27" t="e">
        <f>+(H74/H73)*100</f>
        <v>#DIV/0!</v>
      </c>
      <c r="I72" s="24" t="s">
        <v>57</v>
      </c>
      <c r="J72" s="24"/>
      <c r="K72" s="24"/>
      <c r="L72" s="24"/>
      <c r="M72" s="24"/>
      <c r="N72" s="24" t="str">
        <f>IF(J6="SMA 3/4","&gt;70%",IF($J$6="SMA 1/2","&gt;70%",IF($J$6="SMA 3/8","&gt;70%",IF($J$6="SMA No. 4","&gt;70%","&gt;80%"))))</f>
        <v>&gt;80%</v>
      </c>
      <c r="O72" s="24"/>
      <c r="P72" s="24"/>
      <c r="Q72" s="24"/>
      <c r="R72" s="24"/>
      <c r="S72" s="121"/>
      <c r="T72" s="3"/>
      <c r="U72" s="3"/>
      <c r="AW72"/>
      <c r="AX72"/>
      <c r="BJ72"/>
      <c r="BK72"/>
    </row>
    <row r="73" spans="1:63" x14ac:dyDescent="0.25">
      <c r="A73"/>
      <c r="B73" s="127"/>
      <c r="C73" s="24"/>
      <c r="D73" s="24" t="s">
        <v>39</v>
      </c>
      <c r="E73" s="24"/>
      <c r="F73" s="24"/>
      <c r="G73" s="24"/>
      <c r="H73" s="5"/>
      <c r="I73" s="24"/>
      <c r="J73" s="24" t="s">
        <v>55</v>
      </c>
      <c r="K73" s="24"/>
      <c r="L73" s="24"/>
      <c r="M73" s="24"/>
      <c r="N73" s="24" t="s">
        <v>44</v>
      </c>
      <c r="O73" s="24"/>
      <c r="P73" s="24"/>
      <c r="Q73" s="24"/>
      <c r="R73" s="24"/>
      <c r="S73" s="121"/>
      <c r="T73" s="3"/>
      <c r="U73" s="3"/>
      <c r="AW73"/>
      <c r="AX73"/>
      <c r="BJ73"/>
      <c r="BK73"/>
    </row>
    <row r="74" spans="1:63" x14ac:dyDescent="0.25">
      <c r="A74"/>
      <c r="B74" s="127"/>
      <c r="C74" s="24"/>
      <c r="D74" s="24" t="s">
        <v>40</v>
      </c>
      <c r="E74" s="24"/>
      <c r="F74" s="24"/>
      <c r="G74" s="24"/>
      <c r="H74" s="5"/>
      <c r="I74" s="24"/>
      <c r="J74" s="24" t="s">
        <v>56</v>
      </c>
      <c r="K74" s="24"/>
      <c r="L74" s="24"/>
      <c r="M74" s="24"/>
      <c r="N74" s="24"/>
      <c r="O74" s="24"/>
      <c r="P74" s="24"/>
      <c r="Q74" s="24"/>
      <c r="R74" s="24"/>
      <c r="S74" s="121"/>
      <c r="T74" s="3"/>
      <c r="U74" s="3"/>
      <c r="AW74"/>
      <c r="AX74"/>
      <c r="BJ74"/>
      <c r="BK74"/>
    </row>
    <row r="75" spans="1:63" x14ac:dyDescent="0.25">
      <c r="A75"/>
      <c r="B75" s="127"/>
      <c r="C75" s="24"/>
      <c r="D75" s="24" t="s">
        <v>41</v>
      </c>
      <c r="E75" s="24"/>
      <c r="F75" s="24"/>
      <c r="G75" s="24"/>
      <c r="H75" s="5"/>
      <c r="I75" s="24"/>
      <c r="J75" s="24"/>
      <c r="K75" s="24"/>
      <c r="L75" s="24"/>
      <c r="M75" s="24"/>
      <c r="N75" s="24" t="s">
        <v>144</v>
      </c>
      <c r="O75" s="24"/>
      <c r="P75" s="24"/>
      <c r="Q75" s="24"/>
      <c r="R75" s="24"/>
      <c r="S75" s="121"/>
      <c r="T75" s="3"/>
      <c r="U75" s="3"/>
      <c r="AW75"/>
      <c r="AX75"/>
      <c r="BJ75"/>
      <c r="BK75"/>
    </row>
    <row r="76" spans="1:63" ht="13.8" thickBot="1" x14ac:dyDescent="0.3">
      <c r="A76"/>
      <c r="B76" s="125"/>
      <c r="C76" s="44"/>
      <c r="D76" s="44" t="s">
        <v>42</v>
      </c>
      <c r="E76" s="44"/>
      <c r="F76" s="44"/>
      <c r="G76" s="44"/>
      <c r="H76" s="7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126"/>
      <c r="T76" s="3"/>
      <c r="U76" s="3"/>
      <c r="AW76"/>
      <c r="AX76"/>
      <c r="BJ76"/>
      <c r="BK76"/>
    </row>
    <row r="77" spans="1:63" x14ac:dyDescent="0.25">
      <c r="A77"/>
      <c r="B77" s="120" t="s">
        <v>204</v>
      </c>
      <c r="C77" s="5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121"/>
      <c r="T77" s="3"/>
      <c r="U77" s="3"/>
      <c r="AW77"/>
      <c r="AX77"/>
      <c r="BJ77"/>
      <c r="BK77"/>
    </row>
    <row r="78" spans="1:63" x14ac:dyDescent="0.25">
      <c r="A78"/>
      <c r="B78" s="127"/>
      <c r="C78" s="24"/>
      <c r="D78" s="24" t="s">
        <v>135</v>
      </c>
      <c r="E78" s="24"/>
      <c r="F78" s="24"/>
      <c r="G78" s="24"/>
      <c r="H78" s="25" t="e">
        <f>((1-(R56/100))*R51)</f>
        <v>#DIV/0!</v>
      </c>
      <c r="I78" s="24"/>
      <c r="J78" s="24"/>
      <c r="K78" s="24"/>
      <c r="L78" s="24"/>
      <c r="M78" s="24"/>
      <c r="N78" s="24"/>
      <c r="O78" s="24"/>
      <c r="P78" s="97" t="s">
        <v>143</v>
      </c>
      <c r="Q78" s="39"/>
      <c r="R78" s="24"/>
      <c r="S78" s="121"/>
      <c r="T78" s="3"/>
      <c r="U78" s="3"/>
      <c r="W78" s="47"/>
      <c r="AW78"/>
      <c r="AX78"/>
      <c r="BJ78"/>
      <c r="BK78"/>
    </row>
    <row r="79" spans="1:63" x14ac:dyDescent="0.25">
      <c r="A79"/>
      <c r="B79" s="127"/>
      <c r="C79" s="24"/>
      <c r="D79" s="24" t="s">
        <v>181</v>
      </c>
      <c r="E79" s="24"/>
      <c r="F79" s="24"/>
      <c r="G79" s="24"/>
      <c r="H79" s="25">
        <f>Q35</f>
        <v>0</v>
      </c>
      <c r="I79" s="24"/>
      <c r="J79" s="24"/>
      <c r="K79" s="24"/>
      <c r="L79" s="24"/>
      <c r="M79" s="24"/>
      <c r="N79" s="24"/>
      <c r="O79" s="24"/>
      <c r="P79" s="97" t="s">
        <v>136</v>
      </c>
      <c r="Q79" s="1" t="e">
        <f>100-VLOOKUP(Q78,C17:Q28,14,FALSE)</f>
        <v>#N/A</v>
      </c>
      <c r="R79" s="24"/>
      <c r="S79" s="121"/>
      <c r="T79" s="3"/>
      <c r="U79" s="3"/>
      <c r="AW79"/>
      <c r="AX79"/>
      <c r="BJ79"/>
      <c r="BK79"/>
    </row>
    <row r="80" spans="1:63" x14ac:dyDescent="0.25">
      <c r="A80"/>
      <c r="B80" s="127"/>
      <c r="C80" s="24"/>
      <c r="D80" s="24" t="s">
        <v>182</v>
      </c>
      <c r="E80" s="24"/>
      <c r="F80" s="24"/>
      <c r="G80" s="24"/>
      <c r="H80" s="26" t="e">
        <f>((100-$R$50)/100)*(Q79/100)*100</f>
        <v>#N/A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121"/>
      <c r="T80" s="3"/>
      <c r="U80" s="3"/>
      <c r="AW80"/>
      <c r="AX80"/>
      <c r="BJ80"/>
      <c r="BK80"/>
    </row>
    <row r="81" spans="1:63" x14ac:dyDescent="0.25">
      <c r="A81"/>
      <c r="B81" s="127"/>
      <c r="C81" s="24"/>
      <c r="D81" s="24" t="s">
        <v>183</v>
      </c>
      <c r="E81" s="24"/>
      <c r="F81" s="24"/>
      <c r="G81" s="24"/>
      <c r="H81" s="26" t="e">
        <f>(100-((H78/H79)*H80))</f>
        <v>#DIV/0!</v>
      </c>
      <c r="I81" s="24"/>
      <c r="J81" s="24"/>
      <c r="K81" s="24"/>
      <c r="L81"/>
      <c r="M81" s="24"/>
      <c r="N81" s="24"/>
      <c r="O81" s="24"/>
      <c r="P81" s="24"/>
      <c r="Q81" s="24"/>
      <c r="R81" s="24"/>
      <c r="S81" s="121"/>
      <c r="T81" s="3"/>
      <c r="U81" s="3"/>
      <c r="AW81"/>
      <c r="AX81"/>
      <c r="BJ81"/>
      <c r="BK81"/>
    </row>
    <row r="82" spans="1:63" ht="13.8" x14ac:dyDescent="0.3">
      <c r="A82"/>
      <c r="B82" s="127"/>
      <c r="C82" s="24"/>
      <c r="D82" s="24" t="s">
        <v>184</v>
      </c>
      <c r="E82" s="24"/>
      <c r="F82" s="24"/>
      <c r="G82" s="24"/>
      <c r="H82" s="71"/>
      <c r="I82" s="24"/>
      <c r="J82" s="24"/>
      <c r="K82" s="24"/>
      <c r="L82" s="24" t="s">
        <v>137</v>
      </c>
      <c r="M82" s="24"/>
      <c r="N82" s="24"/>
      <c r="O82" s="24"/>
      <c r="P82" s="24"/>
      <c r="Q82" s="24"/>
      <c r="R82" s="24"/>
      <c r="S82" s="121"/>
      <c r="T82" s="3"/>
      <c r="U82" s="3"/>
      <c r="AW82"/>
      <c r="AX82"/>
      <c r="BJ82"/>
      <c r="BK82"/>
    </row>
    <row r="83" spans="1:63" x14ac:dyDescent="0.25">
      <c r="A83"/>
      <c r="B83" s="127"/>
      <c r="C83" s="24"/>
      <c r="D83" s="24" t="s">
        <v>166</v>
      </c>
      <c r="E83" s="24"/>
      <c r="F83" s="24"/>
      <c r="G83" s="24"/>
      <c r="H83" s="26" t="e">
        <f>(H79*62.24-H82)/(H79*62.24)*100</f>
        <v>#DIV/0!</v>
      </c>
      <c r="I83" s="24"/>
      <c r="J83" s="24"/>
      <c r="K83" s="24"/>
      <c r="L83" s="24" t="s">
        <v>138</v>
      </c>
      <c r="M83" s="24"/>
      <c r="N83" s="24"/>
      <c r="O83" s="24"/>
      <c r="P83" s="24" t="e">
        <f>IF(H81&lt;H83,"YES","NO")</f>
        <v>#DIV/0!</v>
      </c>
      <c r="Q83" s="24" t="s">
        <v>142</v>
      </c>
      <c r="R83" s="24"/>
      <c r="S83" s="121"/>
      <c r="T83" s="3"/>
      <c r="U83" s="3"/>
      <c r="AW83"/>
      <c r="AX83"/>
      <c r="BJ83"/>
      <c r="BK83"/>
    </row>
    <row r="84" spans="1:63" x14ac:dyDescent="0.25">
      <c r="A84"/>
      <c r="B84" s="127"/>
      <c r="C84" s="24"/>
      <c r="D84" s="24" t="s">
        <v>240</v>
      </c>
      <c r="E84" s="24"/>
      <c r="F84" s="24"/>
      <c r="G84" s="24"/>
      <c r="H84" s="71"/>
      <c r="I84" s="97" t="s">
        <v>241</v>
      </c>
      <c r="J84" s="24"/>
      <c r="K84" s="24"/>
      <c r="L84" s="24"/>
      <c r="M84" s="24"/>
      <c r="N84" s="24"/>
      <c r="O84" s="24"/>
      <c r="P84" s="24"/>
      <c r="Q84" s="24"/>
      <c r="R84" s="24"/>
      <c r="S84" s="121"/>
      <c r="T84" s="3"/>
      <c r="U84" s="3"/>
      <c r="AW84"/>
      <c r="AX84"/>
      <c r="BJ84"/>
      <c r="BK84"/>
    </row>
    <row r="85" spans="1:63" x14ac:dyDescent="0.25">
      <c r="A85"/>
      <c r="B85" s="127"/>
      <c r="C85" s="24"/>
      <c r="D85" s="24" t="s">
        <v>196</v>
      </c>
      <c r="E85" s="24"/>
      <c r="F85" s="24"/>
      <c r="G85" s="24"/>
      <c r="H85" s="135"/>
      <c r="I85" s="73" t="s">
        <v>197</v>
      </c>
      <c r="J85" s="24"/>
      <c r="K85" s="24"/>
      <c r="L85" s="24"/>
      <c r="M85" s="24"/>
      <c r="N85" s="24"/>
      <c r="O85" s="24"/>
      <c r="P85" s="24"/>
      <c r="Q85" s="24"/>
      <c r="R85" s="24"/>
      <c r="S85" s="121"/>
      <c r="T85" s="3"/>
      <c r="U85" s="3"/>
      <c r="AW85"/>
      <c r="AX85"/>
      <c r="BJ85"/>
      <c r="BK85"/>
    </row>
    <row r="86" spans="1:63" x14ac:dyDescent="0.25">
      <c r="A86"/>
      <c r="B86" s="127"/>
      <c r="C86" s="24"/>
      <c r="D86" s="24" t="s">
        <v>200</v>
      </c>
      <c r="E86" s="24"/>
      <c r="F86" s="24"/>
      <c r="G86" s="24"/>
      <c r="H86" s="33"/>
      <c r="I86" s="73" t="s">
        <v>201</v>
      </c>
      <c r="J86" s="24"/>
      <c r="K86" s="24"/>
      <c r="L86" s="24"/>
      <c r="M86" s="24"/>
      <c r="N86" s="24"/>
      <c r="O86" s="24"/>
      <c r="P86" s="24"/>
      <c r="Q86" s="24"/>
      <c r="R86" s="24"/>
      <c r="S86" s="121"/>
      <c r="T86" s="3"/>
      <c r="U86" s="3"/>
      <c r="AW86"/>
      <c r="AX86"/>
      <c r="BJ86"/>
      <c r="BK86"/>
    </row>
    <row r="87" spans="1:63" ht="13.8" thickBot="1" x14ac:dyDescent="0.3">
      <c r="A87"/>
      <c r="B87" s="125"/>
      <c r="C87" s="44"/>
      <c r="D87" s="44" t="s">
        <v>202</v>
      </c>
      <c r="E87" s="44"/>
      <c r="F87" s="44"/>
      <c r="G87" s="44"/>
      <c r="H87" s="60"/>
      <c r="I87" s="74" t="s">
        <v>203</v>
      </c>
      <c r="J87" s="44"/>
      <c r="K87" s="44"/>
      <c r="L87" s="44"/>
      <c r="M87" s="44"/>
      <c r="N87" s="44"/>
      <c r="O87" s="44"/>
      <c r="P87" s="124"/>
      <c r="Q87" s="44"/>
      <c r="R87" s="44"/>
      <c r="S87" s="126"/>
      <c r="T87" s="3"/>
      <c r="U87" s="3"/>
      <c r="AW87"/>
      <c r="AX87"/>
      <c r="BJ87"/>
      <c r="BK87"/>
    </row>
    <row r="88" spans="1:63" x14ac:dyDescent="0.25">
      <c r="A88"/>
      <c r="B88" s="21"/>
      <c r="C88" s="22"/>
      <c r="D88" s="22"/>
      <c r="E88" s="22"/>
      <c r="F88" s="50"/>
      <c r="G88" s="50" t="s">
        <v>49</v>
      </c>
      <c r="H88" s="50"/>
      <c r="I88" s="50" t="s">
        <v>47</v>
      </c>
      <c r="J88" s="50"/>
      <c r="K88" s="50"/>
      <c r="L88" s="50"/>
      <c r="M88" s="50"/>
      <c r="N88"/>
      <c r="O88"/>
      <c r="P88" s="50" t="s">
        <v>46</v>
      </c>
      <c r="Q88" s="50"/>
      <c r="R88" s="23"/>
      <c r="S88" s="121"/>
      <c r="T88" s="3"/>
      <c r="U88" s="3"/>
      <c r="AW88"/>
      <c r="AX88"/>
      <c r="BJ88"/>
      <c r="BK88"/>
    </row>
    <row r="89" spans="1:63" ht="13.8" thickBot="1" x14ac:dyDescent="0.3">
      <c r="A89"/>
      <c r="B89" s="140" t="s">
        <v>45</v>
      </c>
      <c r="C89" s="141"/>
      <c r="D89" s="141"/>
      <c r="E89" s="141"/>
      <c r="F89" s="124"/>
      <c r="G89" s="124"/>
      <c r="H89" s="124"/>
      <c r="I89" s="124" t="s">
        <v>48</v>
      </c>
      <c r="J89" s="124"/>
      <c r="K89" s="124"/>
      <c r="L89" s="44" t="s">
        <v>161</v>
      </c>
      <c r="M89" s="124"/>
      <c r="N89" s="99"/>
      <c r="O89" s="99"/>
      <c r="P89" s="124" t="str">
        <f>P43</f>
        <v>CDOT Form #429    05/18</v>
      </c>
      <c r="Q89" s="124"/>
      <c r="R89" s="44"/>
      <c r="S89" s="126"/>
      <c r="T89" s="3"/>
      <c r="U89" s="3"/>
      <c r="AW89"/>
      <c r="AX89"/>
      <c r="BJ89"/>
      <c r="BK89"/>
    </row>
    <row r="90" spans="1:63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BJ90"/>
      <c r="BK90"/>
    </row>
    <row r="91" spans="1:63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BJ91"/>
      <c r="BK91"/>
    </row>
    <row r="92" spans="1:63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BJ92"/>
      <c r="BK92"/>
    </row>
    <row r="93" spans="1:63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BJ93"/>
      <c r="BK93"/>
    </row>
    <row r="94" spans="1:63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BJ94"/>
      <c r="BK94"/>
    </row>
    <row r="95" spans="1:63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BJ95"/>
      <c r="BK95"/>
    </row>
    <row r="96" spans="1:63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BJ96"/>
      <c r="BK96"/>
    </row>
    <row r="97" spans="1:63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BJ97"/>
      <c r="BK97"/>
    </row>
    <row r="98" spans="1:63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BJ98"/>
      <c r="BK98"/>
    </row>
    <row r="99" spans="1:63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BJ99"/>
      <c r="BK99"/>
    </row>
    <row r="100" spans="1:6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BJ100"/>
      <c r="BK100"/>
    </row>
    <row r="101" spans="1:6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BJ101"/>
      <c r="BK101"/>
    </row>
    <row r="102" spans="1:6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BJ102"/>
      <c r="BK102"/>
    </row>
    <row r="103" spans="1:6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BJ103"/>
      <c r="BK103"/>
    </row>
    <row r="104" spans="1:6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BJ104"/>
      <c r="BK104"/>
    </row>
    <row r="105" spans="1:6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BJ105"/>
      <c r="BK105"/>
    </row>
    <row r="106" spans="1:6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BJ106"/>
      <c r="BK106"/>
    </row>
    <row r="107" spans="1:6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BJ107"/>
      <c r="BK107"/>
    </row>
    <row r="108" spans="1:6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BJ108"/>
      <c r="BK108"/>
    </row>
    <row r="109" spans="1:6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BJ109"/>
      <c r="BK109"/>
    </row>
    <row r="110" spans="1:6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BJ110"/>
      <c r="BK110"/>
    </row>
    <row r="111" spans="1:6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BJ111"/>
      <c r="BK111"/>
    </row>
    <row r="112" spans="1:6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BJ112"/>
      <c r="BK112"/>
    </row>
    <row r="113" spans="1:6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BJ113"/>
      <c r="BK113"/>
    </row>
    <row r="114" spans="1:6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BJ114"/>
      <c r="BK114"/>
    </row>
    <row r="115" spans="1:6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BJ115"/>
      <c r="BK115"/>
    </row>
    <row r="116" spans="1:6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BJ116"/>
      <c r="BK116"/>
    </row>
    <row r="117" spans="1:6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BJ117"/>
      <c r="BK117"/>
    </row>
    <row r="118" spans="1:6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BJ118"/>
      <c r="BK118"/>
    </row>
    <row r="119" spans="1:6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BJ119"/>
      <c r="BK119"/>
    </row>
    <row r="120" spans="1:6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BJ120"/>
      <c r="BK120"/>
    </row>
    <row r="121" spans="1:6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BJ121"/>
      <c r="BK121"/>
    </row>
    <row r="122" spans="1:6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BJ122"/>
      <c r="BK122"/>
    </row>
    <row r="123" spans="1:6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BJ123"/>
      <c r="BK123"/>
    </row>
    <row r="124" spans="1:6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BJ124"/>
      <c r="BK124"/>
    </row>
    <row r="125" spans="1:6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BJ125"/>
      <c r="BK125"/>
    </row>
    <row r="126" spans="1:6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BJ126"/>
      <c r="BK126"/>
    </row>
    <row r="127" spans="1:6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BJ127"/>
      <c r="BK127"/>
    </row>
    <row r="128" spans="1:6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BJ128"/>
      <c r="BK128"/>
    </row>
    <row r="129" spans="1:6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BJ129"/>
      <c r="BK129"/>
    </row>
    <row r="130" spans="1:63" x14ac:dyDescent="0.25">
      <c r="A130"/>
      <c r="B130"/>
      <c r="C130"/>
      <c r="D130"/>
      <c r="E130" s="24"/>
      <c r="F130"/>
      <c r="G130"/>
      <c r="H130"/>
      <c r="I130"/>
      <c r="J130"/>
      <c r="K130"/>
      <c r="L130"/>
      <c r="M130"/>
      <c r="N130"/>
      <c r="O130"/>
      <c r="P130" s="5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BJ130"/>
      <c r="BK130"/>
    </row>
    <row r="131" spans="1:63" x14ac:dyDescent="0.25">
      <c r="A131"/>
      <c r="B131"/>
      <c r="C131"/>
      <c r="D131"/>
      <c r="E131" s="24">
        <f>B1</f>
        <v>0</v>
      </c>
      <c r="F131"/>
      <c r="G131"/>
      <c r="H131"/>
      <c r="I131"/>
      <c r="J131"/>
      <c r="K131"/>
      <c r="L131"/>
      <c r="M131"/>
      <c r="N131"/>
      <c r="O131"/>
      <c r="P131" s="50" t="str">
        <f>P43</f>
        <v>CDOT Form #429    05/18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BJ131"/>
      <c r="BK131"/>
    </row>
    <row r="132" spans="1:63" x14ac:dyDescent="0.25">
      <c r="A132"/>
      <c r="B132"/>
      <c r="C132"/>
      <c r="D132"/>
      <c r="E132" s="24" t="str">
        <f>P1</f>
        <v>Lab Mix No.:</v>
      </c>
      <c r="F132"/>
      <c r="G132" s="24">
        <f>R1</f>
        <v>0</v>
      </c>
      <c r="H132"/>
      <c r="I132"/>
      <c r="J132"/>
      <c r="K132"/>
      <c r="L132" s="24" t="s">
        <v>185</v>
      </c>
      <c r="M132"/>
      <c r="N132"/>
      <c r="O132"/>
      <c r="P132" s="5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BJ132"/>
      <c r="BK132"/>
    </row>
    <row r="133" spans="1:6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BJ133"/>
      <c r="BK133"/>
    </row>
    <row r="134" spans="1:6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BJ134"/>
      <c r="BK134"/>
    </row>
    <row r="135" spans="1:6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BJ135"/>
      <c r="BK135"/>
    </row>
    <row r="136" spans="1:6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BJ136"/>
      <c r="BK136"/>
    </row>
    <row r="137" spans="1:6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BJ137"/>
      <c r="BK137"/>
    </row>
    <row r="138" spans="1:6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BJ138"/>
      <c r="BK138"/>
    </row>
    <row r="139" spans="1:63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BJ139"/>
      <c r="BK139"/>
    </row>
    <row r="140" spans="1:6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BJ140"/>
      <c r="BK140"/>
    </row>
    <row r="141" spans="1:6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BJ141"/>
      <c r="BK141"/>
    </row>
    <row r="142" spans="1:6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BJ142"/>
      <c r="BK142"/>
    </row>
    <row r="143" spans="1:6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BJ143"/>
      <c r="BK143"/>
    </row>
    <row r="144" spans="1:6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BJ144"/>
      <c r="BK144"/>
    </row>
    <row r="145" spans="1:63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BJ145"/>
      <c r="BK145"/>
    </row>
    <row r="146" spans="1:6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BJ146"/>
      <c r="BK146"/>
    </row>
    <row r="147" spans="1:6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BJ147"/>
      <c r="BK147"/>
    </row>
    <row r="148" spans="1:63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BJ148"/>
      <c r="BK148"/>
    </row>
    <row r="149" spans="1:63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BJ149"/>
      <c r="BK149"/>
    </row>
    <row r="150" spans="1:63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BJ150"/>
      <c r="BK150"/>
    </row>
    <row r="151" spans="1:63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BJ151"/>
      <c r="BK151"/>
    </row>
    <row r="152" spans="1:63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BJ152"/>
      <c r="BK152"/>
    </row>
    <row r="153" spans="1:63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BJ153"/>
      <c r="BK153"/>
    </row>
    <row r="154" spans="1:63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BJ154"/>
      <c r="BK154"/>
    </row>
    <row r="155" spans="1:63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BJ155"/>
      <c r="BK155"/>
    </row>
    <row r="156" spans="1:63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BJ156"/>
      <c r="BK156"/>
    </row>
    <row r="157" spans="1:63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BJ157"/>
      <c r="BK157"/>
    </row>
    <row r="158" spans="1:63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BJ158"/>
      <c r="BK158"/>
    </row>
    <row r="159" spans="1:63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BJ159"/>
      <c r="BK159"/>
    </row>
    <row r="160" spans="1:63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BJ160"/>
      <c r="BK160"/>
    </row>
    <row r="161" spans="1:6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BJ161"/>
      <c r="BK161"/>
    </row>
    <row r="162" spans="1:6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BJ162"/>
      <c r="BK162"/>
    </row>
    <row r="163" spans="1:6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BJ163"/>
      <c r="BK163"/>
    </row>
    <row r="164" spans="1:6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BJ164"/>
      <c r="BK164"/>
    </row>
    <row r="165" spans="1:6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BJ165"/>
      <c r="BK165"/>
    </row>
    <row r="166" spans="1:6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BJ166"/>
      <c r="BK166"/>
    </row>
    <row r="167" spans="1:6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BJ167"/>
      <c r="BK167"/>
    </row>
    <row r="168" spans="1:6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BJ168"/>
      <c r="BK168"/>
    </row>
    <row r="169" spans="1:6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BJ169"/>
      <c r="BK169"/>
    </row>
    <row r="170" spans="1:6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BJ170"/>
      <c r="BK170"/>
    </row>
    <row r="171" spans="1:63" x14ac:dyDescent="0.25">
      <c r="A171"/>
      <c r="B171"/>
      <c r="C171"/>
      <c r="D171"/>
      <c r="E171" s="24"/>
      <c r="F171"/>
      <c r="G171" s="24"/>
      <c r="H171"/>
      <c r="I171"/>
      <c r="J171"/>
      <c r="K171"/>
      <c r="L171" s="24"/>
      <c r="M171"/>
      <c r="N171"/>
      <c r="O171"/>
      <c r="P171" s="5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BJ171"/>
      <c r="BK171"/>
    </row>
    <row r="172" spans="1:63" x14ac:dyDescent="0.25">
      <c r="A172"/>
      <c r="B172"/>
      <c r="C172"/>
      <c r="D172"/>
      <c r="E172" s="24"/>
      <c r="F172"/>
      <c r="G172" s="24"/>
      <c r="H172"/>
      <c r="I172"/>
      <c r="J172"/>
      <c r="K172"/>
      <c r="L172" s="24"/>
      <c r="M172"/>
      <c r="N172"/>
      <c r="O172"/>
      <c r="P172" s="5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BJ172"/>
      <c r="BK172"/>
    </row>
    <row r="173" spans="1:63" x14ac:dyDescent="0.25">
      <c r="A173"/>
      <c r="B173"/>
      <c r="C173"/>
      <c r="D173"/>
      <c r="E173" s="24"/>
      <c r="F173"/>
      <c r="G173" s="24"/>
      <c r="H173"/>
      <c r="I173"/>
      <c r="J173"/>
      <c r="K173"/>
      <c r="L173" s="24"/>
      <c r="M173"/>
      <c r="N173"/>
      <c r="O173"/>
      <c r="P173" s="5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BJ173"/>
      <c r="BK173"/>
    </row>
    <row r="174" spans="1:63" x14ac:dyDescent="0.25">
      <c r="A174"/>
      <c r="B174"/>
      <c r="C174"/>
      <c r="D174"/>
      <c r="E174" s="24">
        <f>B1</f>
        <v>0</v>
      </c>
      <c r="F174"/>
      <c r="G174"/>
      <c r="H174"/>
      <c r="I174"/>
      <c r="J174"/>
      <c r="K174"/>
      <c r="L174"/>
      <c r="M174"/>
      <c r="N174"/>
      <c r="O174"/>
      <c r="P174" s="50" t="str">
        <f>P43</f>
        <v>CDOT Form #429    05/18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BJ174"/>
      <c r="BK174"/>
    </row>
    <row r="175" spans="1:63" x14ac:dyDescent="0.25">
      <c r="A175"/>
      <c r="B175"/>
      <c r="C175"/>
      <c r="D175"/>
      <c r="E175" s="24" t="str">
        <f>P1</f>
        <v>Lab Mix No.:</v>
      </c>
      <c r="F175"/>
      <c r="G175" s="24">
        <f>R1</f>
        <v>0</v>
      </c>
      <c r="H175"/>
      <c r="I175"/>
      <c r="J175"/>
      <c r="K175"/>
      <c r="L175" s="24" t="s">
        <v>189</v>
      </c>
      <c r="M175"/>
      <c r="N175"/>
      <c r="O175"/>
      <c r="P175" s="5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BJ175"/>
      <c r="BK175"/>
    </row>
    <row r="176" spans="1:6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BJ176"/>
      <c r="BK176"/>
    </row>
    <row r="177" spans="1:6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BJ177"/>
      <c r="BK177"/>
    </row>
    <row r="178" spans="1:6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BJ178"/>
      <c r="BK178"/>
    </row>
    <row r="179" spans="1:6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BJ179"/>
      <c r="BK179"/>
    </row>
    <row r="180" spans="1:6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BJ180"/>
      <c r="BK180"/>
    </row>
    <row r="181" spans="1:6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BJ181"/>
      <c r="BK181"/>
    </row>
    <row r="182" spans="1:6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BJ182"/>
      <c r="BK182"/>
    </row>
    <row r="183" spans="1:6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BJ183"/>
      <c r="BK183"/>
    </row>
    <row r="184" spans="1:6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BJ184"/>
      <c r="BK184"/>
    </row>
    <row r="185" spans="1:6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BJ185"/>
      <c r="BK185"/>
    </row>
    <row r="186" spans="1:6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BJ186"/>
      <c r="BK186"/>
    </row>
    <row r="187" spans="1:6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BJ187"/>
      <c r="BK187"/>
    </row>
    <row r="188" spans="1:6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BJ188"/>
      <c r="BK188"/>
    </row>
    <row r="189" spans="1:6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BJ189"/>
      <c r="BK189"/>
    </row>
    <row r="190" spans="1:6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BJ190"/>
      <c r="BK190"/>
    </row>
    <row r="191" spans="1:6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BJ191"/>
      <c r="BK191"/>
    </row>
    <row r="192" spans="1:6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BJ192"/>
      <c r="BK192"/>
    </row>
    <row r="193" spans="1:6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BJ193"/>
      <c r="BK193"/>
    </row>
    <row r="194" spans="1:6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BJ194"/>
      <c r="BK194"/>
    </row>
    <row r="195" spans="1:6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BJ195"/>
      <c r="BK195"/>
    </row>
    <row r="196" spans="1:6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BJ196"/>
      <c r="BK196"/>
    </row>
    <row r="197" spans="1:6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BJ197"/>
      <c r="BK197"/>
    </row>
    <row r="198" spans="1:6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BJ198"/>
      <c r="BK198"/>
    </row>
    <row r="199" spans="1:6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BJ199"/>
      <c r="BK199"/>
    </row>
    <row r="200" spans="1:6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BJ200"/>
      <c r="BK200"/>
    </row>
    <row r="201" spans="1:6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BJ201"/>
      <c r="BK201"/>
    </row>
    <row r="202" spans="1:6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BJ202"/>
      <c r="BK202"/>
    </row>
    <row r="203" spans="1:6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BJ203"/>
      <c r="BK203"/>
    </row>
    <row r="204" spans="1:6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BJ204"/>
      <c r="BK204"/>
    </row>
    <row r="205" spans="1:6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BJ205"/>
      <c r="BK205"/>
    </row>
    <row r="206" spans="1:6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BJ206"/>
      <c r="BK206"/>
    </row>
    <row r="207" spans="1:6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BJ207"/>
      <c r="BK207"/>
    </row>
    <row r="208" spans="1:63" x14ac:dyDescent="0.25">
      <c r="A208"/>
      <c r="B208"/>
      <c r="C208"/>
      <c r="D208"/>
      <c r="E208" s="24">
        <f>B1</f>
        <v>0</v>
      </c>
      <c r="F208"/>
      <c r="G208"/>
      <c r="H208"/>
      <c r="I208"/>
      <c r="J208"/>
      <c r="K208"/>
      <c r="L208"/>
      <c r="M208"/>
      <c r="N208"/>
      <c r="O208"/>
      <c r="P208" s="50" t="str">
        <f>P43</f>
        <v>CDOT Form #429    05/18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BJ208"/>
      <c r="BK208"/>
    </row>
    <row r="209" spans="1:63" x14ac:dyDescent="0.25">
      <c r="A209"/>
      <c r="B209"/>
      <c r="C209"/>
      <c r="D209"/>
      <c r="E209" s="24" t="str">
        <f>P1</f>
        <v>Lab Mix No.:</v>
      </c>
      <c r="F209"/>
      <c r="G209" s="24">
        <f>R1</f>
        <v>0</v>
      </c>
      <c r="H209"/>
      <c r="I209"/>
      <c r="J209"/>
      <c r="K209"/>
      <c r="L209" s="24" t="s">
        <v>188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BJ209"/>
      <c r="BK209"/>
    </row>
    <row r="210" spans="1:6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BJ210"/>
      <c r="BK210"/>
    </row>
    <row r="211" spans="1:6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BJ211"/>
      <c r="BK211"/>
    </row>
    <row r="212" spans="1:6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BJ212"/>
      <c r="BK212"/>
    </row>
    <row r="213" spans="1:6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BJ213"/>
      <c r="BK213"/>
    </row>
    <row r="214" spans="1:6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BJ214"/>
      <c r="BK214"/>
    </row>
    <row r="215" spans="1:6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BJ215"/>
      <c r="BK215"/>
    </row>
    <row r="216" spans="1:6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BJ216"/>
      <c r="BK216"/>
    </row>
    <row r="217" spans="1:63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BJ217"/>
      <c r="BK217"/>
    </row>
    <row r="218" spans="1:63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BJ218"/>
      <c r="BK218"/>
    </row>
    <row r="219" spans="1:6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BJ219"/>
      <c r="BK219"/>
    </row>
    <row r="220" spans="1:6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BJ220"/>
      <c r="BK220"/>
    </row>
    <row r="221" spans="1:6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BJ221"/>
      <c r="BK221"/>
    </row>
    <row r="222" spans="1:6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BJ222"/>
      <c r="BK222"/>
    </row>
    <row r="223" spans="1:6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BJ223"/>
      <c r="BK223"/>
    </row>
    <row r="224" spans="1:6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BJ224"/>
      <c r="BK224"/>
    </row>
    <row r="225" spans="1:6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BJ225"/>
      <c r="BK225"/>
    </row>
    <row r="226" spans="1:6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BJ226"/>
      <c r="BK226"/>
    </row>
    <row r="227" spans="1:63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BJ227"/>
      <c r="BK227"/>
    </row>
    <row r="228" spans="1:6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BJ228"/>
      <c r="BK228"/>
    </row>
    <row r="229" spans="1:6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BJ229"/>
      <c r="BK229"/>
    </row>
    <row r="230" spans="1:6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BJ230"/>
      <c r="BK230"/>
    </row>
    <row r="231" spans="1:6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BJ231"/>
      <c r="BK231"/>
    </row>
    <row r="232" spans="1:6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BJ232"/>
      <c r="BK232"/>
    </row>
    <row r="233" spans="1:6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BJ233"/>
      <c r="BK233"/>
    </row>
    <row r="234" spans="1:6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BJ234"/>
      <c r="BK234"/>
    </row>
    <row r="235" spans="1:6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BJ235"/>
      <c r="BK235"/>
    </row>
    <row r="236" spans="1:6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BJ236"/>
      <c r="BK236"/>
    </row>
    <row r="237" spans="1:6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BJ237"/>
      <c r="BK237"/>
    </row>
    <row r="238" spans="1:6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BJ238"/>
      <c r="BK238"/>
    </row>
    <row r="239" spans="1:6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BJ239"/>
      <c r="BK239"/>
    </row>
    <row r="240" spans="1:63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BJ240"/>
      <c r="BK240"/>
    </row>
    <row r="241" spans="1:6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BJ241"/>
      <c r="BK241"/>
    </row>
    <row r="242" spans="1:6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BJ242"/>
      <c r="BK242"/>
    </row>
    <row r="243" spans="1:63" x14ac:dyDescent="0.25">
      <c r="A243"/>
      <c r="B243"/>
      <c r="C243"/>
      <c r="D243"/>
      <c r="E243" s="97"/>
      <c r="F243" s="24"/>
      <c r="G243" s="52"/>
      <c r="H243" s="24"/>
      <c r="I243" s="24"/>
      <c r="J243" s="24"/>
      <c r="K243" s="24"/>
      <c r="L243" s="24"/>
      <c r="M243"/>
      <c r="N243" s="24"/>
      <c r="O243" s="24"/>
      <c r="P243"/>
      <c r="Q243" s="24"/>
      <c r="R243" s="24" t="s">
        <v>22</v>
      </c>
      <c r="S243" s="24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BJ243"/>
      <c r="BK243"/>
    </row>
    <row r="244" spans="1:63" x14ac:dyDescent="0.25">
      <c r="A244"/>
      <c r="B244"/>
      <c r="C244"/>
      <c r="D244"/>
      <c r="E244" s="97"/>
      <c r="F244" s="24"/>
      <c r="G244" s="52"/>
      <c r="H244" s="24"/>
      <c r="I244" s="24"/>
      <c r="J244" s="24"/>
      <c r="K244" s="24"/>
      <c r="L244" s="24"/>
      <c r="M244"/>
      <c r="N244" s="24"/>
      <c r="O244" s="24"/>
      <c r="P244"/>
      <c r="Q244" s="24"/>
      <c r="R244" s="24"/>
      <c r="S244" s="2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BJ244"/>
      <c r="BK244"/>
    </row>
    <row r="245" spans="1:63" x14ac:dyDescent="0.25">
      <c r="A245"/>
      <c r="B245"/>
      <c r="C245"/>
      <c r="D245"/>
      <c r="E245" s="97"/>
      <c r="F245" s="24"/>
      <c r="G245" s="52"/>
      <c r="H245" s="24"/>
      <c r="I245" s="24"/>
      <c r="J245" s="24"/>
      <c r="K245" s="24"/>
      <c r="L245" s="24"/>
      <c r="M245"/>
      <c r="N245" s="24"/>
      <c r="O245" s="24"/>
      <c r="P245"/>
      <c r="Q245" s="24"/>
      <c r="R245" s="24"/>
      <c r="S245" s="24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BJ245"/>
      <c r="BK245"/>
    </row>
    <row r="246" spans="1:63" x14ac:dyDescent="0.25">
      <c r="A246"/>
      <c r="B246"/>
      <c r="C246"/>
      <c r="D246"/>
      <c r="E246" s="97"/>
      <c r="F246" s="24"/>
      <c r="G246" s="52"/>
      <c r="H246" s="24"/>
      <c r="I246" s="24"/>
      <c r="J246" s="24"/>
      <c r="K246" s="24"/>
      <c r="L246" s="24"/>
      <c r="M246"/>
      <c r="N246" s="24"/>
      <c r="O246" s="24"/>
      <c r="P246"/>
      <c r="Q246" s="24"/>
      <c r="R246" s="24"/>
      <c r="S246" s="24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BJ246"/>
      <c r="BK246"/>
    </row>
    <row r="247" spans="1:63" x14ac:dyDescent="0.25">
      <c r="A247"/>
      <c r="B247"/>
      <c r="C247"/>
      <c r="D247"/>
      <c r="E247" s="97"/>
      <c r="F247" s="24"/>
      <c r="G247" s="52"/>
      <c r="H247" s="24"/>
      <c r="I247" s="24"/>
      <c r="J247" s="24"/>
      <c r="K247" s="24"/>
      <c r="L247" s="24"/>
      <c r="M247"/>
      <c r="N247" s="24"/>
      <c r="O247" s="24"/>
      <c r="P247"/>
      <c r="Q247" s="24"/>
      <c r="R247" s="24"/>
      <c r="S247" s="24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BJ247"/>
      <c r="BK247"/>
    </row>
    <row r="248" spans="1:63" x14ac:dyDescent="0.25">
      <c r="A248"/>
      <c r="B248"/>
      <c r="C248"/>
      <c r="D248"/>
      <c r="E248" s="97"/>
      <c r="F248" s="24"/>
      <c r="G248" s="52"/>
      <c r="H248" s="24"/>
      <c r="I248" s="24"/>
      <c r="J248" s="24"/>
      <c r="K248" s="24"/>
      <c r="L248" s="24"/>
      <c r="M248"/>
      <c r="N248" s="24"/>
      <c r="O248" s="24"/>
      <c r="P248"/>
      <c r="Q248" s="24"/>
      <c r="R248" s="24"/>
      <c r="S248" s="24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BJ248"/>
      <c r="BK248"/>
    </row>
    <row r="249" spans="1:6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BJ249"/>
      <c r="BK249"/>
    </row>
    <row r="250" spans="1:63" ht="21" x14ac:dyDescent="0.4">
      <c r="A250"/>
      <c r="B250"/>
      <c r="C250"/>
      <c r="D250" s="24">
        <f>B1</f>
        <v>0</v>
      </c>
      <c r="E250"/>
      <c r="F250"/>
      <c r="G250"/>
      <c r="H250" s="133" t="s">
        <v>68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BJ250"/>
      <c r="BK250"/>
    </row>
    <row r="251" spans="1:63" x14ac:dyDescent="0.25">
      <c r="A251"/>
      <c r="B251"/>
      <c r="C251"/>
      <c r="D251" s="24" t="str">
        <f>P1</f>
        <v>Lab Mix No.:</v>
      </c>
      <c r="E251"/>
      <c r="F251" s="24">
        <f>R1</f>
        <v>0</v>
      </c>
      <c r="G251"/>
      <c r="H251"/>
      <c r="I251"/>
      <c r="J251"/>
      <c r="K251"/>
      <c r="L251" s="24" t="s">
        <v>187</v>
      </c>
      <c r="M251"/>
      <c r="N251"/>
      <c r="O251"/>
      <c r="P251" s="50" t="str">
        <f>P43</f>
        <v>CDOT Form #429    05/18</v>
      </c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BJ251"/>
      <c r="BK251"/>
    </row>
  </sheetData>
  <sheetProtection algorithmName="SHA-512" hashValue="ix1hfUS2f/suDbQVfCnG1OoPkj1VYJ2XvGQtpglnbqPITENu/8wRD5d5p9sf9DTNecAD78rHTu1106OoQAzNSw==" saltValue="DgM6lj6hTFhNGeX+4z8GMQ==" spinCount="100000" sheet="1" objects="1" scenarios="1"/>
  <dataConsolidate/>
  <mergeCells count="17">
    <mergeCell ref="B1:H1"/>
    <mergeCell ref="J3:L3"/>
    <mergeCell ref="G6:H6"/>
    <mergeCell ref="G7:H7"/>
    <mergeCell ref="R7:S7"/>
    <mergeCell ref="B45:H45"/>
    <mergeCell ref="AI38:AJ38"/>
    <mergeCell ref="AK38:AL38"/>
    <mergeCell ref="AM38:AN38"/>
    <mergeCell ref="AO38:AP38"/>
    <mergeCell ref="F10:L10"/>
    <mergeCell ref="N10:P10"/>
    <mergeCell ref="AU38:AV38"/>
    <mergeCell ref="AW38:AX38"/>
    <mergeCell ref="BJ38:BK38"/>
    <mergeCell ref="AQ38:AR38"/>
    <mergeCell ref="AS38:AT38"/>
  </mergeCells>
  <conditionalFormatting sqref="R29">
    <cfRule type="containsText" dxfId="15" priority="16" operator="containsText" text="#N/A">
      <formula>NOT(ISERROR(SEARCH("#N/A",R29)))</formula>
    </cfRule>
  </conditionalFormatting>
  <conditionalFormatting sqref="R17:S28">
    <cfRule type="containsErrors" dxfId="14" priority="15">
      <formula>ISERROR(R17)</formula>
    </cfRule>
  </conditionalFormatting>
  <conditionalFormatting sqref="P83:P87">
    <cfRule type="containsText" dxfId="13" priority="13" operator="containsText" text="YES">
      <formula>NOT(ISERROR(SEARCH("YES",P83)))</formula>
    </cfRule>
    <cfRule type="containsText" dxfId="12" priority="14" operator="containsText" text="NO">
      <formula>NOT(ISERROR(SEARCH("NO",P83)))</formula>
    </cfRule>
  </conditionalFormatting>
  <conditionalFormatting sqref="H65:N65 P65:R65">
    <cfRule type="containsErrors" dxfId="11" priority="12">
      <formula>ISERROR(H65)</formula>
    </cfRule>
  </conditionalFormatting>
  <conditionalFormatting sqref="O63">
    <cfRule type="containsErrors" dxfId="10" priority="11">
      <formula>ISERROR(O63)</formula>
    </cfRule>
  </conditionalFormatting>
  <conditionalFormatting sqref="R65">
    <cfRule type="cellIs" dxfId="9" priority="1" operator="between">
      <formula>23.1</formula>
      <formula>30.1</formula>
    </cfRule>
    <cfRule type="cellIs" dxfId="8" priority="2" operator="lessThan">
      <formula>30.1</formula>
    </cfRule>
    <cfRule type="cellIs" dxfId="7" priority="3" operator="greaterThan">
      <formula>30.1</formula>
    </cfRule>
    <cfRule type="cellIs" dxfId="6" priority="4" operator="between">
      <formula>23.00001</formula>
      <formula>30.00001</formula>
    </cfRule>
    <cfRule type="cellIs" dxfId="5" priority="5" operator="lessThan">
      <formula>30.00001</formula>
    </cfRule>
    <cfRule type="cellIs" dxfId="4" priority="6" operator="greaterThan">
      <formula>30</formula>
    </cfRule>
    <cfRule type="cellIs" dxfId="3" priority="9" operator="greaterThan">
      <formula>30.1</formula>
    </cfRule>
    <cfRule type="cellIs" dxfId="2" priority="10" operator="between">
      <formula>0</formula>
      <formula>30</formula>
    </cfRule>
  </conditionalFormatting>
  <conditionalFormatting sqref="O65">
    <cfRule type="containsErrors" dxfId="1" priority="8">
      <formula>ISERROR(O65)</formula>
    </cfRule>
  </conditionalFormatting>
  <conditionalFormatting sqref="S65">
    <cfRule type="containsErrors" dxfId="0" priority="7">
      <formula>ISERROR(S65)</formula>
    </cfRule>
  </conditionalFormatting>
  <dataValidations count="8">
    <dataValidation type="list" allowBlank="1" showInputMessage="1" showErrorMessage="1" sqref="S37" xr:uid="{00000000-0002-0000-0200-000000000000}">
      <formula1>$V$40:$V$42</formula1>
    </dataValidation>
    <dataValidation type="list" allowBlank="1" showInputMessage="1" showErrorMessage="1" sqref="Q78" xr:uid="{00000000-0002-0000-0200-000001000000}">
      <formula1>$C$17:$C$28</formula1>
    </dataValidation>
    <dataValidation type="list" allowBlank="1" showInputMessage="1" showErrorMessage="1" sqref="M7" xr:uid="{00000000-0002-0000-0200-000002000000}">
      <formula1>$AB$19:$AB$24</formula1>
    </dataValidation>
    <dataValidation type="list" allowBlank="1" showInputMessage="1" showErrorMessage="1" sqref="N6" xr:uid="{00000000-0002-0000-0200-000003000000}">
      <formula1>$AC$19:$AC$23</formula1>
    </dataValidation>
    <dataValidation type="list" allowBlank="1" showInputMessage="1" showErrorMessage="1" sqref="R3" xr:uid="{00000000-0002-0000-0200-000004000000}">
      <formula1>$AA$19:$AA$25</formula1>
    </dataValidation>
    <dataValidation type="list" allowBlank="1" showInputMessage="1" showErrorMessage="1" sqref="P6" xr:uid="{00000000-0002-0000-0200-000005000000}">
      <formula1>$Z$18:$Z$22</formula1>
    </dataValidation>
    <dataValidation type="list" allowBlank="1" showInputMessage="1" showErrorMessage="1" sqref="J6:K6" xr:uid="{00000000-0002-0000-0200-000006000000}">
      <formula1>$Y$19:$Y$27</formula1>
    </dataValidation>
    <dataValidation type="list" allowBlank="1" showErrorMessage="1" errorTitle="Invalid Entry!" error="Please select the type of recycled product." sqref="N11:P11" xr:uid="{00000000-0002-0000-0200-000007000000}">
      <formula1>$V$11:$V$13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17</xdr:col>
                    <xdr:colOff>60960</xdr:colOff>
                    <xdr:row>4</xdr:row>
                    <xdr:rowOff>152400</xdr:rowOff>
                  </from>
                  <to>
                    <xdr:col>17</xdr:col>
                    <xdr:colOff>495300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17</xdr:col>
                    <xdr:colOff>533400</xdr:colOff>
                    <xdr:row>4</xdr:row>
                    <xdr:rowOff>152400</xdr:rowOff>
                  </from>
                  <to>
                    <xdr:col>18</xdr:col>
                    <xdr:colOff>312420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B77B-488E-4A5A-A34D-172A82C03332}">
  <dimension ref="A1:Q110"/>
  <sheetViews>
    <sheetView workbookViewId="0">
      <selection activeCell="G20" sqref="G19:G20"/>
    </sheetView>
  </sheetViews>
  <sheetFormatPr defaultColWidth="8.88671875" defaultRowHeight="14.4" x14ac:dyDescent="0.35"/>
  <cols>
    <col min="1" max="1" width="8.6640625" style="145" customWidth="1"/>
    <col min="2" max="3" width="4.6640625" style="146" customWidth="1"/>
    <col min="4" max="4" width="15.6640625" style="146" customWidth="1"/>
    <col min="5" max="5" width="2.6640625" style="146" customWidth="1"/>
    <col min="6" max="6" width="20.6640625" style="146" customWidth="1"/>
    <col min="7" max="7" width="27.6640625" style="146" customWidth="1"/>
    <col min="8" max="8" width="1.109375" style="146" customWidth="1"/>
    <col min="9" max="9" width="5.6640625" style="146" customWidth="1"/>
    <col min="10" max="10" width="1.6640625" style="146" customWidth="1"/>
    <col min="11" max="11" width="5.6640625" style="146" customWidth="1"/>
    <col min="12" max="12" width="1.6640625" style="146" customWidth="1"/>
    <col min="13" max="13" width="5.6640625" style="146" customWidth="1"/>
    <col min="14" max="14" width="1.6640625" style="146" customWidth="1"/>
    <col min="15" max="15" width="15.6640625" style="146" customWidth="1"/>
    <col min="16" max="16" width="1.33203125" style="146" customWidth="1"/>
    <col min="17" max="17" width="8.88671875" style="146" hidden="1" customWidth="1"/>
    <col min="18" max="18" width="9.109375" style="146" customWidth="1"/>
    <col min="19" max="16384" width="8.88671875" style="146"/>
  </cols>
  <sheetData>
    <row r="1" spans="1:15" ht="20.100000000000001" customHeight="1" x14ac:dyDescent="0.35">
      <c r="B1" s="189" t="s">
        <v>267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7.100000000000001" customHeight="1" x14ac:dyDescent="0.35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7.100000000000001" customHeight="1" x14ac:dyDescent="0.35">
      <c r="B3" s="147"/>
      <c r="C3" s="148"/>
      <c r="D3" s="149" t="s">
        <v>268</v>
      </c>
      <c r="E3" s="148"/>
      <c r="F3" s="150"/>
      <c r="G3" s="148"/>
      <c r="H3" s="148"/>
      <c r="I3" s="190"/>
      <c r="J3" s="190"/>
      <c r="K3" s="190"/>
      <c r="L3" s="148"/>
      <c r="M3" s="148"/>
      <c r="N3" s="148"/>
      <c r="O3" s="148" t="s">
        <v>0</v>
      </c>
    </row>
    <row r="4" spans="1:15" ht="17.100000000000001" customHeight="1" x14ac:dyDescent="0.35">
      <c r="B4" s="147"/>
      <c r="C4" s="148"/>
      <c r="D4" s="149" t="s">
        <v>269</v>
      </c>
      <c r="E4" s="148"/>
      <c r="F4" s="150"/>
      <c r="G4" s="148"/>
      <c r="H4" s="148"/>
      <c r="I4" s="149"/>
      <c r="J4" s="149"/>
      <c r="L4" s="149"/>
      <c r="M4" s="149" t="s">
        <v>270</v>
      </c>
      <c r="O4" s="151"/>
    </row>
    <row r="5" spans="1:15" ht="17.100000000000001" customHeight="1" x14ac:dyDescent="0.35">
      <c r="B5" s="147"/>
      <c r="C5" s="148"/>
      <c r="D5" s="149" t="s">
        <v>271</v>
      </c>
      <c r="E5" s="148"/>
      <c r="F5" s="152"/>
      <c r="G5" s="148"/>
      <c r="H5" s="148"/>
      <c r="I5" s="149"/>
      <c r="J5" s="149"/>
      <c r="L5" s="149"/>
      <c r="M5" s="149" t="s">
        <v>272</v>
      </c>
      <c r="O5" s="151"/>
    </row>
    <row r="6" spans="1:15" ht="17.100000000000001" customHeight="1" x14ac:dyDescent="0.35">
      <c r="B6" s="147"/>
      <c r="C6" s="148"/>
      <c r="D6" s="149" t="s">
        <v>273</v>
      </c>
      <c r="E6" s="148"/>
      <c r="F6" s="152"/>
      <c r="G6" s="148"/>
      <c r="H6" s="148"/>
      <c r="I6" s="149"/>
      <c r="J6" s="149"/>
      <c r="L6" s="149"/>
      <c r="M6" s="149" t="s">
        <v>274</v>
      </c>
      <c r="O6" s="151"/>
    </row>
    <row r="7" spans="1:15" ht="17.100000000000001" customHeight="1" x14ac:dyDescent="0.35">
      <c r="B7" s="147"/>
      <c r="C7" s="148"/>
      <c r="D7" s="149" t="s">
        <v>275</v>
      </c>
      <c r="E7" s="148"/>
      <c r="F7" s="152"/>
      <c r="G7" s="148"/>
      <c r="H7" s="148"/>
      <c r="I7" s="149"/>
      <c r="J7" s="149"/>
      <c r="L7" s="149"/>
      <c r="M7" s="149" t="s">
        <v>276</v>
      </c>
      <c r="O7" s="153"/>
    </row>
    <row r="8" spans="1:15" ht="17.100000000000001" customHeight="1" x14ac:dyDescent="0.35">
      <c r="B8" s="154"/>
      <c r="C8" s="155"/>
      <c r="D8" s="149" t="s">
        <v>277</v>
      </c>
      <c r="E8" s="155"/>
      <c r="F8" s="156"/>
      <c r="G8" s="155"/>
      <c r="H8" s="155"/>
      <c r="I8" s="149"/>
      <c r="J8" s="149"/>
      <c r="L8" s="149"/>
      <c r="M8" s="149" t="s">
        <v>278</v>
      </c>
      <c r="O8" s="153"/>
    </row>
    <row r="9" spans="1:15" ht="17.100000000000001" customHeight="1" x14ac:dyDescent="0.35">
      <c r="B9" s="154"/>
      <c r="C9" s="155"/>
      <c r="D9" s="149" t="s">
        <v>279</v>
      </c>
      <c r="E9" s="155"/>
      <c r="F9" s="156"/>
      <c r="G9" s="155"/>
      <c r="H9" s="155"/>
      <c r="I9" s="191"/>
      <c r="J9" s="191"/>
      <c r="K9" s="191"/>
      <c r="L9" s="157"/>
      <c r="M9" s="157"/>
    </row>
    <row r="10" spans="1:15" ht="17.100000000000001" customHeight="1" x14ac:dyDescent="0.35">
      <c r="D10" s="149" t="s">
        <v>280</v>
      </c>
      <c r="F10" s="153"/>
      <c r="G10" s="157"/>
      <c r="H10" s="157"/>
      <c r="I10" s="192"/>
      <c r="J10" s="192"/>
      <c r="K10" s="192"/>
      <c r="L10" s="155"/>
      <c r="M10" s="155"/>
      <c r="N10" s="155"/>
      <c r="O10" s="157"/>
    </row>
    <row r="11" spans="1:15" ht="17.100000000000001" customHeight="1" x14ac:dyDescent="0.35">
      <c r="B11" s="193" t="s">
        <v>281</v>
      </c>
      <c r="C11" s="193"/>
      <c r="D11" s="193"/>
      <c r="F11" s="153"/>
      <c r="I11" s="193"/>
      <c r="J11" s="193"/>
      <c r="K11" s="193"/>
      <c r="L11" s="149"/>
      <c r="M11" s="149"/>
    </row>
    <row r="12" spans="1:15" ht="17.100000000000001" customHeight="1" x14ac:dyDescent="0.35">
      <c r="D12" s="149" t="s">
        <v>282</v>
      </c>
      <c r="F12" s="153"/>
      <c r="I12" s="158" t="s">
        <v>283</v>
      </c>
      <c r="K12" s="158" t="s">
        <v>284</v>
      </c>
      <c r="L12" s="158"/>
      <c r="M12" s="158" t="s">
        <v>285</v>
      </c>
      <c r="N12" s="158"/>
      <c r="O12" s="158" t="s">
        <v>0</v>
      </c>
    </row>
    <row r="13" spans="1:15" customFormat="1" ht="17.100000000000001" customHeight="1" x14ac:dyDescent="0.25"/>
    <row r="14" spans="1:15" ht="17.100000000000001" customHeight="1" x14ac:dyDescent="0.35">
      <c r="A14" s="159" t="s">
        <v>286</v>
      </c>
      <c r="B14" s="201" t="s">
        <v>386</v>
      </c>
      <c r="C14" s="202"/>
      <c r="D14" s="202"/>
      <c r="E14" s="202"/>
      <c r="F14" s="202"/>
      <c r="G14" s="203"/>
      <c r="I14" s="160"/>
      <c r="K14" s="160"/>
      <c r="L14" s="158"/>
      <c r="M14" s="160"/>
      <c r="N14" s="158"/>
      <c r="O14" s="161"/>
    </row>
    <row r="15" spans="1:15" ht="17.100000000000001" customHeight="1" x14ac:dyDescent="0.35">
      <c r="C15" s="146" t="s">
        <v>287</v>
      </c>
      <c r="I15" s="160"/>
      <c r="K15" s="160"/>
      <c r="L15" s="158"/>
      <c r="M15" s="160"/>
      <c r="N15" s="158"/>
      <c r="O15" s="162"/>
    </row>
    <row r="16" spans="1:15" ht="17.100000000000001" customHeight="1" x14ac:dyDescent="0.35">
      <c r="C16" s="146" t="s">
        <v>288</v>
      </c>
      <c r="I16" s="160"/>
      <c r="K16" s="160"/>
      <c r="L16" s="158"/>
      <c r="M16" s="160"/>
      <c r="N16" s="158"/>
      <c r="O16" s="162"/>
    </row>
    <row r="17" spans="1:15" ht="17.100000000000001" customHeight="1" x14ac:dyDescent="0.35">
      <c r="C17" s="146" t="s">
        <v>289</v>
      </c>
      <c r="I17" s="160"/>
      <c r="K17" s="160"/>
      <c r="L17" s="158"/>
      <c r="M17" s="160"/>
      <c r="N17" s="158"/>
      <c r="O17" s="162"/>
    </row>
    <row r="18" spans="1:15" ht="17.100000000000001" customHeight="1" x14ac:dyDescent="0.35">
      <c r="I18" s="158"/>
      <c r="K18" s="158"/>
      <c r="L18" s="158"/>
      <c r="M18" s="158"/>
      <c r="N18" s="158"/>
      <c r="O18" s="158"/>
    </row>
    <row r="19" spans="1:15" ht="17.100000000000001" customHeight="1" x14ac:dyDescent="0.35">
      <c r="A19" s="159" t="s">
        <v>290</v>
      </c>
      <c r="B19" s="147" t="s">
        <v>291</v>
      </c>
      <c r="I19" s="160"/>
      <c r="K19" s="160"/>
      <c r="L19" s="158"/>
      <c r="M19" s="160"/>
      <c r="N19" s="158"/>
      <c r="O19" s="161"/>
    </row>
    <row r="20" spans="1:15" ht="17.100000000000001" customHeight="1" x14ac:dyDescent="0.35">
      <c r="B20" s="163" t="s">
        <v>292</v>
      </c>
      <c r="C20" s="146" t="s">
        <v>293</v>
      </c>
      <c r="I20" s="160"/>
      <c r="K20" s="160"/>
      <c r="L20" s="158"/>
      <c r="M20" s="160"/>
      <c r="N20" s="158"/>
      <c r="O20" s="161"/>
    </row>
    <row r="21" spans="1:15" ht="17.100000000000001" customHeight="1" x14ac:dyDescent="0.35">
      <c r="B21" s="163" t="s">
        <v>292</v>
      </c>
      <c r="C21" s="146" t="s">
        <v>294</v>
      </c>
      <c r="I21" s="160"/>
      <c r="K21" s="160"/>
      <c r="L21" s="158"/>
      <c r="M21" s="160"/>
      <c r="N21" s="158"/>
      <c r="O21" s="161"/>
    </row>
    <row r="22" spans="1:15" ht="17.100000000000001" customHeight="1" x14ac:dyDescent="0.35">
      <c r="B22" s="163" t="s">
        <v>292</v>
      </c>
      <c r="C22" s="146" t="s">
        <v>295</v>
      </c>
      <c r="I22" s="160"/>
      <c r="K22" s="160"/>
      <c r="L22" s="158"/>
      <c r="M22" s="160"/>
      <c r="N22" s="158"/>
      <c r="O22" s="161"/>
    </row>
    <row r="23" spans="1:15" ht="17.100000000000001" customHeight="1" x14ac:dyDescent="0.35">
      <c r="B23" s="163" t="s">
        <v>292</v>
      </c>
      <c r="C23" s="146" t="s">
        <v>296</v>
      </c>
      <c r="I23" s="160"/>
      <c r="K23" s="160"/>
      <c r="L23" s="158"/>
      <c r="M23" s="160"/>
      <c r="N23" s="158"/>
      <c r="O23" s="161"/>
    </row>
    <row r="24" spans="1:15" ht="17.100000000000001" customHeight="1" x14ac:dyDescent="0.35">
      <c r="B24" s="163" t="s">
        <v>292</v>
      </c>
      <c r="C24" s="146" t="s">
        <v>297</v>
      </c>
      <c r="I24" s="160"/>
      <c r="K24" s="160"/>
      <c r="L24" s="158"/>
      <c r="M24" s="160"/>
      <c r="N24" s="158"/>
      <c r="O24" s="161"/>
    </row>
    <row r="25" spans="1:15" ht="17.100000000000001" customHeight="1" x14ac:dyDescent="0.35">
      <c r="B25" s="163" t="s">
        <v>292</v>
      </c>
      <c r="C25" s="146" t="s">
        <v>298</v>
      </c>
      <c r="I25" s="160"/>
      <c r="K25" s="160"/>
      <c r="L25" s="158"/>
      <c r="M25" s="160"/>
      <c r="N25" s="158"/>
      <c r="O25" s="161"/>
    </row>
    <row r="26" spans="1:15" ht="17.100000000000001" customHeight="1" x14ac:dyDescent="0.35">
      <c r="I26" s="158"/>
      <c r="K26" s="158"/>
      <c r="L26" s="158"/>
      <c r="M26" s="158"/>
      <c r="N26" s="158"/>
      <c r="O26" s="158"/>
    </row>
    <row r="27" spans="1:15" ht="17.100000000000001" customHeight="1" x14ac:dyDescent="0.35">
      <c r="A27" s="159" t="s">
        <v>299</v>
      </c>
      <c r="B27" s="147" t="s">
        <v>300</v>
      </c>
      <c r="C27" s="147"/>
      <c r="I27" s="158"/>
      <c r="K27" s="158"/>
      <c r="L27" s="158"/>
      <c r="M27" s="158"/>
      <c r="N27" s="158"/>
      <c r="O27" s="158"/>
    </row>
    <row r="28" spans="1:15" ht="17.100000000000001" customHeight="1" x14ac:dyDescent="0.35">
      <c r="B28" s="149" t="s">
        <v>301</v>
      </c>
      <c r="C28" s="146" t="s">
        <v>302</v>
      </c>
      <c r="I28" s="158"/>
      <c r="K28" s="158"/>
      <c r="L28" s="158"/>
      <c r="M28" s="158"/>
      <c r="N28" s="158"/>
      <c r="O28" s="158"/>
    </row>
    <row r="29" spans="1:15" ht="17.100000000000001" customHeight="1" x14ac:dyDescent="0.35">
      <c r="B29" s="149" t="s">
        <v>303</v>
      </c>
      <c r="C29" s="146" t="s">
        <v>304</v>
      </c>
      <c r="I29" s="160"/>
      <c r="K29" s="160"/>
      <c r="L29" s="158"/>
      <c r="M29" s="160"/>
      <c r="N29" s="158"/>
      <c r="O29" s="161"/>
    </row>
    <row r="30" spans="1:15" ht="17.100000000000001" customHeight="1" x14ac:dyDescent="0.35">
      <c r="B30" s="149" t="s">
        <v>305</v>
      </c>
      <c r="C30" s="146" t="s">
        <v>306</v>
      </c>
      <c r="I30" s="160"/>
      <c r="K30" s="160"/>
      <c r="L30" s="158"/>
      <c r="M30" s="160"/>
      <c r="N30" s="158"/>
      <c r="O30" s="162"/>
    </row>
    <row r="31" spans="1:15" ht="17.100000000000001" customHeight="1" x14ac:dyDescent="0.35">
      <c r="B31" s="149" t="s">
        <v>307</v>
      </c>
      <c r="C31" s="146" t="s">
        <v>308</v>
      </c>
      <c r="I31" s="160"/>
      <c r="K31" s="160"/>
      <c r="L31" s="158"/>
      <c r="M31" s="160"/>
      <c r="N31" s="158"/>
      <c r="O31" s="162"/>
    </row>
    <row r="32" spans="1:15" ht="17.100000000000001" customHeight="1" x14ac:dyDescent="0.35">
      <c r="B32" s="149" t="s">
        <v>309</v>
      </c>
      <c r="C32" s="146" t="s">
        <v>310</v>
      </c>
      <c r="I32" s="160"/>
      <c r="K32" s="160"/>
      <c r="L32" s="158"/>
      <c r="M32" s="160"/>
      <c r="N32" s="158"/>
      <c r="O32" s="162"/>
    </row>
    <row r="33" spans="1:15" ht="17.100000000000001" customHeight="1" x14ac:dyDescent="0.35">
      <c r="B33" s="149" t="s">
        <v>311</v>
      </c>
      <c r="C33" s="146" t="s">
        <v>312</v>
      </c>
      <c r="I33" s="158"/>
      <c r="K33" s="158"/>
      <c r="L33" s="158"/>
      <c r="M33" s="158"/>
      <c r="N33" s="158"/>
      <c r="O33" s="158"/>
    </row>
    <row r="34" spans="1:15" ht="17.100000000000001" customHeight="1" x14ac:dyDescent="0.35">
      <c r="I34" s="158"/>
      <c r="K34" s="158"/>
      <c r="L34" s="158"/>
      <c r="M34" s="158"/>
      <c r="N34" s="158"/>
      <c r="O34" s="158"/>
    </row>
    <row r="35" spans="1:15" ht="17.100000000000001" customHeight="1" x14ac:dyDescent="0.35">
      <c r="A35" s="159" t="s">
        <v>313</v>
      </c>
      <c r="B35" s="147" t="s">
        <v>314</v>
      </c>
      <c r="I35" s="158"/>
      <c r="K35" s="158"/>
      <c r="L35" s="158"/>
      <c r="M35" s="158"/>
      <c r="N35" s="158"/>
      <c r="O35" s="158"/>
    </row>
    <row r="36" spans="1:15" ht="17.100000000000001" customHeight="1" x14ac:dyDescent="0.35">
      <c r="B36" s="149" t="s">
        <v>301</v>
      </c>
      <c r="C36" s="146" t="s">
        <v>315</v>
      </c>
      <c r="I36" s="160"/>
      <c r="K36" s="160"/>
      <c r="L36" s="158"/>
      <c r="M36" s="160"/>
      <c r="N36" s="158"/>
      <c r="O36" s="162"/>
    </row>
    <row r="37" spans="1:15" ht="17.100000000000001" customHeight="1" x14ac:dyDescent="0.35">
      <c r="B37" s="149" t="s">
        <v>303</v>
      </c>
      <c r="C37" s="146" t="s">
        <v>316</v>
      </c>
      <c r="I37" s="160"/>
      <c r="K37" s="160"/>
      <c r="L37" s="158"/>
      <c r="M37" s="160"/>
      <c r="N37" s="158"/>
      <c r="O37" s="162"/>
    </row>
    <row r="38" spans="1:15" ht="17.100000000000001" customHeight="1" x14ac:dyDescent="0.35">
      <c r="B38" s="149" t="s">
        <v>305</v>
      </c>
      <c r="C38" s="146" t="s">
        <v>317</v>
      </c>
      <c r="I38" s="160"/>
      <c r="K38" s="160"/>
      <c r="L38" s="158"/>
      <c r="M38" s="160"/>
      <c r="N38" s="158"/>
      <c r="O38" s="162"/>
    </row>
    <row r="39" spans="1:15" ht="17.100000000000001" customHeight="1" x14ac:dyDescent="0.35">
      <c r="B39" s="149" t="s">
        <v>307</v>
      </c>
      <c r="C39" s="146" t="s">
        <v>318</v>
      </c>
      <c r="I39" s="158"/>
      <c r="K39" s="158"/>
      <c r="L39" s="158"/>
      <c r="M39" s="158"/>
      <c r="N39" s="158"/>
      <c r="O39" s="158"/>
    </row>
    <row r="40" spans="1:15" ht="17.100000000000001" customHeight="1" x14ac:dyDescent="0.35">
      <c r="B40" s="149"/>
      <c r="I40" s="158"/>
      <c r="K40" s="158"/>
      <c r="L40" s="158"/>
      <c r="M40" s="158"/>
      <c r="N40" s="158"/>
      <c r="O40" s="158"/>
    </row>
    <row r="41" spans="1:15" ht="17.100000000000001" customHeight="1" x14ac:dyDescent="0.35">
      <c r="A41" s="159" t="s">
        <v>319</v>
      </c>
      <c r="B41" s="147" t="s">
        <v>320</v>
      </c>
      <c r="I41" s="158"/>
      <c r="K41" s="158"/>
      <c r="L41" s="158"/>
      <c r="M41" s="158"/>
      <c r="N41" s="158"/>
      <c r="O41" s="158"/>
    </row>
    <row r="42" spans="1:15" ht="17.100000000000001" customHeight="1" x14ac:dyDescent="0.35">
      <c r="B42" s="149" t="s">
        <v>301</v>
      </c>
      <c r="C42" s="146" t="s">
        <v>315</v>
      </c>
      <c r="I42" s="160"/>
      <c r="K42" s="160"/>
      <c r="L42" s="158"/>
      <c r="M42" s="160"/>
      <c r="N42" s="158"/>
      <c r="O42" s="162"/>
    </row>
    <row r="43" spans="1:15" ht="17.100000000000001" customHeight="1" x14ac:dyDescent="0.35">
      <c r="B43" s="149" t="s">
        <v>303</v>
      </c>
      <c r="C43" s="146" t="s">
        <v>321</v>
      </c>
      <c r="I43" s="160"/>
      <c r="K43" s="160"/>
      <c r="L43" s="158"/>
      <c r="M43" s="160"/>
      <c r="N43" s="158"/>
      <c r="O43" s="162"/>
    </row>
    <row r="44" spans="1:15" ht="17.100000000000001" customHeight="1" x14ac:dyDescent="0.35">
      <c r="B44" s="149" t="s">
        <v>305</v>
      </c>
      <c r="C44" s="146" t="s">
        <v>322</v>
      </c>
      <c r="I44" s="160"/>
      <c r="K44" s="160"/>
      <c r="L44" s="158"/>
      <c r="M44" s="160"/>
      <c r="N44" s="158"/>
      <c r="O44" s="162"/>
    </row>
    <row r="45" spans="1:15" ht="17.100000000000001" customHeight="1" x14ac:dyDescent="0.35">
      <c r="B45" s="149" t="s">
        <v>307</v>
      </c>
      <c r="C45" s="146" t="s">
        <v>323</v>
      </c>
      <c r="I45" s="158"/>
      <c r="K45" s="158"/>
      <c r="L45" s="158"/>
      <c r="M45" s="158"/>
      <c r="N45" s="158"/>
      <c r="O45" s="158"/>
    </row>
    <row r="46" spans="1:15" ht="17.100000000000001" customHeight="1" x14ac:dyDescent="0.35">
      <c r="B46" s="149" t="s">
        <v>309</v>
      </c>
      <c r="C46" s="146" t="s">
        <v>324</v>
      </c>
      <c r="I46" s="158"/>
      <c r="K46" s="158"/>
      <c r="L46" s="158"/>
      <c r="M46" s="158"/>
      <c r="N46" s="158"/>
      <c r="O46" s="158"/>
    </row>
    <row r="47" spans="1:15" ht="17.100000000000001" customHeight="1" x14ac:dyDescent="0.35">
      <c r="B47" s="149"/>
      <c r="I47" s="158"/>
      <c r="K47" s="158"/>
      <c r="L47" s="158"/>
      <c r="M47" s="158"/>
      <c r="N47" s="158"/>
      <c r="O47" s="158"/>
    </row>
    <row r="48" spans="1:15" ht="17.100000000000001" customHeight="1" x14ac:dyDescent="0.35">
      <c r="A48" s="159" t="s">
        <v>325</v>
      </c>
      <c r="B48" s="195" t="s">
        <v>326</v>
      </c>
      <c r="C48" s="195"/>
      <c r="D48" s="195"/>
      <c r="E48" s="195"/>
      <c r="F48" s="195"/>
      <c r="G48" s="195"/>
      <c r="H48" s="164"/>
    </row>
    <row r="49" spans="1:15" ht="17.100000000000001" customHeight="1" x14ac:dyDescent="0.35">
      <c r="C49" s="146" t="s">
        <v>301</v>
      </c>
      <c r="D49" s="194" t="s">
        <v>327</v>
      </c>
      <c r="E49" s="194"/>
      <c r="F49" s="194"/>
      <c r="G49" s="194"/>
      <c r="I49" s="165"/>
      <c r="K49" s="165"/>
      <c r="M49" s="165"/>
      <c r="O49" s="151"/>
    </row>
    <row r="50" spans="1:15" ht="17.100000000000001" customHeight="1" x14ac:dyDescent="0.35">
      <c r="C50" s="146" t="s">
        <v>303</v>
      </c>
      <c r="D50" s="194" t="s">
        <v>328</v>
      </c>
      <c r="E50" s="194"/>
      <c r="F50" s="194"/>
      <c r="G50" s="194"/>
      <c r="I50" s="165"/>
      <c r="K50" s="165"/>
      <c r="M50" s="165"/>
      <c r="O50" s="151"/>
    </row>
    <row r="51" spans="1:15" ht="17.100000000000001" customHeight="1" x14ac:dyDescent="0.35">
      <c r="C51" s="146" t="s">
        <v>305</v>
      </c>
      <c r="D51" s="194" t="s">
        <v>329</v>
      </c>
      <c r="E51" s="194"/>
      <c r="F51" s="194"/>
      <c r="G51" s="194"/>
      <c r="I51" s="165"/>
      <c r="K51" s="165"/>
      <c r="M51" s="165"/>
      <c r="O51" s="151"/>
    </row>
    <row r="52" spans="1:15" ht="17.100000000000001" customHeight="1" x14ac:dyDescent="0.35">
      <c r="C52" s="146" t="s">
        <v>307</v>
      </c>
      <c r="D52" s="194" t="s">
        <v>330</v>
      </c>
      <c r="E52" s="194"/>
      <c r="F52" s="194"/>
      <c r="G52" s="194"/>
      <c r="I52" s="165"/>
      <c r="K52" s="165"/>
      <c r="M52" s="165"/>
      <c r="O52" s="151"/>
    </row>
    <row r="53" spans="1:15" ht="17.100000000000001" customHeight="1" x14ac:dyDescent="0.35">
      <c r="C53" s="146" t="s">
        <v>309</v>
      </c>
      <c r="D53" s="194" t="s">
        <v>331</v>
      </c>
      <c r="E53" s="194"/>
      <c r="F53" s="194"/>
      <c r="G53" s="194"/>
      <c r="I53" s="165"/>
      <c r="K53" s="165"/>
      <c r="M53" s="165"/>
      <c r="O53" s="151"/>
    </row>
    <row r="54" spans="1:15" ht="17.100000000000001" customHeight="1" x14ac:dyDescent="0.35">
      <c r="C54" s="146" t="s">
        <v>311</v>
      </c>
      <c r="D54" s="194" t="s">
        <v>332</v>
      </c>
      <c r="E54" s="194"/>
      <c r="F54" s="194"/>
      <c r="G54" s="194"/>
      <c r="I54" s="165"/>
      <c r="K54" s="165"/>
      <c r="M54" s="165"/>
      <c r="O54" s="151"/>
    </row>
    <row r="55" spans="1:15" ht="17.100000000000001" customHeight="1" x14ac:dyDescent="0.35">
      <c r="C55" s="146" t="s">
        <v>333</v>
      </c>
      <c r="D55" s="194" t="s">
        <v>192</v>
      </c>
      <c r="E55" s="194"/>
      <c r="F55" s="194"/>
      <c r="G55" s="194"/>
      <c r="I55" s="165"/>
      <c r="K55" s="165"/>
      <c r="M55" s="165"/>
      <c r="O55" s="151"/>
    </row>
    <row r="56" spans="1:15" ht="17.100000000000001" customHeight="1" x14ac:dyDescent="0.35">
      <c r="C56" s="146" t="s">
        <v>334</v>
      </c>
      <c r="D56" s="194" t="s">
        <v>335</v>
      </c>
      <c r="E56" s="194"/>
      <c r="F56" s="194"/>
      <c r="G56" s="194"/>
      <c r="I56" s="165"/>
      <c r="K56" s="165"/>
      <c r="M56" s="165"/>
      <c r="O56" s="151"/>
    </row>
    <row r="57" spans="1:15" ht="17.100000000000001" customHeight="1" x14ac:dyDescent="0.35">
      <c r="C57" s="146" t="s">
        <v>336</v>
      </c>
      <c r="D57" s="194" t="s">
        <v>337</v>
      </c>
      <c r="E57" s="194"/>
      <c r="F57" s="194"/>
      <c r="G57" s="194"/>
      <c r="I57" s="165"/>
      <c r="K57" s="165"/>
      <c r="M57" s="165"/>
      <c r="O57" s="151"/>
    </row>
    <row r="58" spans="1:15" ht="17.100000000000001" customHeight="1" x14ac:dyDescent="0.35"/>
    <row r="59" spans="1:15" ht="17.100000000000001" customHeight="1" x14ac:dyDescent="0.35">
      <c r="A59" s="159" t="s">
        <v>338</v>
      </c>
      <c r="B59" s="196" t="s">
        <v>339</v>
      </c>
      <c r="C59" s="196"/>
      <c r="D59" s="196"/>
      <c r="E59" s="196"/>
      <c r="F59" s="196"/>
      <c r="G59" s="196"/>
      <c r="I59" s="165"/>
      <c r="K59" s="165"/>
      <c r="M59" s="165"/>
      <c r="O59" s="151"/>
    </row>
    <row r="60" spans="1:15" ht="17.100000000000001" customHeight="1" x14ac:dyDescent="0.35">
      <c r="C60" s="194" t="s">
        <v>340</v>
      </c>
      <c r="D60" s="194"/>
      <c r="E60" s="194"/>
      <c r="F60" s="194"/>
      <c r="I60" s="165"/>
      <c r="K60" s="165"/>
      <c r="M60" s="165"/>
      <c r="O60" s="153"/>
    </row>
    <row r="61" spans="1:15" ht="17.100000000000001" customHeight="1" x14ac:dyDescent="0.35"/>
    <row r="62" spans="1:15" ht="17.100000000000001" customHeight="1" x14ac:dyDescent="0.35">
      <c r="A62" s="159" t="s">
        <v>341</v>
      </c>
      <c r="B62" s="196" t="s">
        <v>342</v>
      </c>
      <c r="C62" s="196"/>
      <c r="D62" s="196"/>
      <c r="E62" s="196"/>
      <c r="F62" s="196"/>
      <c r="G62" s="196"/>
      <c r="I62" s="165"/>
      <c r="K62" s="165"/>
      <c r="M62" s="165"/>
      <c r="O62" s="151"/>
    </row>
    <row r="63" spans="1:15" ht="17.100000000000001" customHeight="1" x14ac:dyDescent="0.35">
      <c r="A63" s="159"/>
      <c r="B63" s="147"/>
      <c r="C63" s="146" t="s">
        <v>343</v>
      </c>
      <c r="D63" s="147"/>
      <c r="E63" s="147"/>
      <c r="F63" s="147"/>
      <c r="G63" s="147"/>
      <c r="I63" s="165"/>
      <c r="K63" s="165"/>
      <c r="M63" s="165"/>
      <c r="O63" s="151"/>
    </row>
    <row r="64" spans="1:15" ht="17.100000000000001" customHeight="1" x14ac:dyDescent="0.35"/>
    <row r="65" spans="1:15" ht="17.100000000000001" customHeight="1" x14ac:dyDescent="0.35">
      <c r="A65" s="159" t="s">
        <v>344</v>
      </c>
      <c r="B65" s="196" t="s">
        <v>345</v>
      </c>
      <c r="C65" s="196"/>
      <c r="D65" s="196"/>
      <c r="E65" s="196"/>
      <c r="F65" s="196"/>
      <c r="G65" s="196"/>
      <c r="I65" s="165"/>
      <c r="K65" s="165"/>
      <c r="M65" s="165"/>
      <c r="O65" s="151"/>
    </row>
    <row r="66" spans="1:15" ht="17.100000000000001" customHeight="1" x14ac:dyDescent="0.35"/>
    <row r="67" spans="1:15" ht="17.100000000000001" customHeight="1" x14ac:dyDescent="0.35">
      <c r="A67" s="159" t="s">
        <v>346</v>
      </c>
      <c r="B67" s="196" t="s">
        <v>347</v>
      </c>
      <c r="C67" s="196"/>
      <c r="D67" s="196"/>
      <c r="E67" s="196"/>
      <c r="F67" s="196"/>
      <c r="G67" s="196"/>
    </row>
    <row r="68" spans="1:15" ht="17.100000000000001" customHeight="1" x14ac:dyDescent="0.35">
      <c r="C68" s="146" t="s">
        <v>301</v>
      </c>
      <c r="D68" s="198" t="s">
        <v>348</v>
      </c>
      <c r="E68" s="198"/>
      <c r="F68" s="198"/>
      <c r="G68" s="198"/>
      <c r="H68" s="166"/>
      <c r="I68" s="165"/>
      <c r="K68" s="165"/>
      <c r="M68" s="165"/>
      <c r="O68" s="151"/>
    </row>
    <row r="69" spans="1:15" ht="17.100000000000001" customHeight="1" x14ac:dyDescent="0.35">
      <c r="C69" s="146" t="s">
        <v>303</v>
      </c>
      <c r="D69" s="198" t="s">
        <v>349</v>
      </c>
      <c r="E69" s="198"/>
      <c r="F69" s="198"/>
      <c r="G69" s="198"/>
      <c r="H69" s="166"/>
      <c r="I69" s="165"/>
      <c r="K69" s="165"/>
      <c r="M69" s="165"/>
      <c r="O69" s="151"/>
    </row>
    <row r="70" spans="1:15" ht="17.100000000000001" customHeight="1" x14ac:dyDescent="0.35">
      <c r="C70" s="146" t="s">
        <v>305</v>
      </c>
      <c r="D70" s="198" t="s">
        <v>350</v>
      </c>
      <c r="E70" s="198"/>
      <c r="F70" s="198"/>
      <c r="G70" s="198"/>
      <c r="H70" s="166"/>
      <c r="I70" s="165"/>
      <c r="K70" s="165"/>
      <c r="M70" s="165"/>
      <c r="O70" s="151"/>
    </row>
    <row r="71" spans="1:15" ht="17.100000000000001" customHeight="1" x14ac:dyDescent="0.35">
      <c r="C71" s="146" t="s">
        <v>307</v>
      </c>
      <c r="D71" s="198" t="s">
        <v>351</v>
      </c>
      <c r="E71" s="198"/>
      <c r="F71" s="198"/>
      <c r="G71" s="198"/>
      <c r="H71" s="166"/>
      <c r="I71" s="165"/>
      <c r="K71" s="165"/>
      <c r="M71" s="165"/>
      <c r="O71" s="151"/>
    </row>
    <row r="72" spans="1:15" ht="17.100000000000001" customHeight="1" x14ac:dyDescent="0.35">
      <c r="C72" s="146" t="s">
        <v>309</v>
      </c>
      <c r="D72" s="198" t="s">
        <v>352</v>
      </c>
      <c r="E72" s="198"/>
      <c r="F72" s="198"/>
      <c r="G72" s="198"/>
      <c r="H72" s="166"/>
      <c r="I72" s="165"/>
      <c r="K72" s="165"/>
      <c r="M72" s="165"/>
      <c r="O72" s="151"/>
    </row>
    <row r="73" spans="1:15" ht="17.100000000000001" customHeight="1" x14ac:dyDescent="0.35">
      <c r="C73" s="146" t="s">
        <v>311</v>
      </c>
      <c r="D73" s="198" t="s">
        <v>353</v>
      </c>
      <c r="E73" s="198"/>
      <c r="F73" s="198"/>
      <c r="G73" s="198"/>
      <c r="H73" s="166"/>
      <c r="I73" s="165"/>
      <c r="K73" s="165"/>
      <c r="M73" s="165"/>
      <c r="O73" s="151"/>
    </row>
    <row r="74" spans="1:15" ht="17.100000000000001" customHeight="1" x14ac:dyDescent="0.35">
      <c r="C74" s="146" t="s">
        <v>333</v>
      </c>
      <c r="D74" s="198" t="s">
        <v>354</v>
      </c>
      <c r="E74" s="198"/>
      <c r="F74" s="198"/>
      <c r="G74" s="198"/>
      <c r="H74" s="166"/>
      <c r="I74" s="165"/>
      <c r="K74" s="165"/>
      <c r="M74" s="165"/>
      <c r="O74" s="151"/>
    </row>
    <row r="75" spans="1:15" ht="17.100000000000001" customHeight="1" x14ac:dyDescent="0.35"/>
    <row r="76" spans="1:15" ht="17.100000000000001" customHeight="1" x14ac:dyDescent="0.35">
      <c r="A76" s="159" t="s">
        <v>355</v>
      </c>
      <c r="B76" s="167" t="s">
        <v>356</v>
      </c>
      <c r="C76" s="168"/>
      <c r="D76" s="168"/>
      <c r="E76" s="168"/>
      <c r="F76" s="168"/>
      <c r="G76" s="168"/>
      <c r="H76" s="169"/>
      <c r="I76" s="165"/>
      <c r="K76" s="165"/>
      <c r="M76" s="165"/>
      <c r="O76" s="151"/>
    </row>
    <row r="77" spans="1:15" ht="17.100000000000001" customHeight="1" x14ac:dyDescent="0.35">
      <c r="B77" s="168"/>
      <c r="C77" s="168"/>
      <c r="D77" s="168"/>
      <c r="E77" s="168"/>
      <c r="F77" s="168"/>
      <c r="G77" s="168"/>
      <c r="H77" s="169"/>
    </row>
    <row r="78" spans="1:15" ht="17.100000000000001" customHeight="1" x14ac:dyDescent="0.35">
      <c r="A78" s="159" t="s">
        <v>357</v>
      </c>
      <c r="B78" s="167" t="s">
        <v>358</v>
      </c>
      <c r="C78" s="167"/>
      <c r="D78" s="167"/>
      <c r="E78" s="167"/>
      <c r="F78" s="167"/>
      <c r="G78" s="167"/>
      <c r="H78" s="168"/>
      <c r="I78" s="165"/>
      <c r="K78" s="165"/>
      <c r="M78" s="165"/>
      <c r="O78" s="151"/>
    </row>
    <row r="79" spans="1:15" ht="17.100000000000001" customHeight="1" x14ac:dyDescent="0.35">
      <c r="B79" s="167"/>
      <c r="C79" s="167"/>
      <c r="D79" s="167"/>
      <c r="E79" s="167"/>
      <c r="F79" s="167"/>
      <c r="G79" s="167"/>
      <c r="H79" s="168"/>
    </row>
    <row r="80" spans="1:15" ht="17.100000000000001" customHeight="1" x14ac:dyDescent="0.35">
      <c r="A80" s="159" t="s">
        <v>359</v>
      </c>
      <c r="B80" s="167" t="s">
        <v>360</v>
      </c>
      <c r="C80" s="170"/>
      <c r="D80" s="170"/>
      <c r="E80" s="170"/>
      <c r="F80" s="170"/>
      <c r="G80" s="170"/>
      <c r="H80" s="168"/>
      <c r="I80" s="165"/>
      <c r="K80" s="165"/>
      <c r="M80" s="165"/>
      <c r="O80" s="151"/>
    </row>
    <row r="81" spans="1:15" ht="17.100000000000001" customHeight="1" x14ac:dyDescent="0.35">
      <c r="B81" s="170"/>
      <c r="C81" s="170"/>
      <c r="D81" s="170"/>
      <c r="E81" s="170"/>
      <c r="F81" s="170"/>
      <c r="G81" s="170"/>
      <c r="H81" s="168"/>
    </row>
    <row r="82" spans="1:15" ht="17.100000000000001" customHeight="1" x14ac:dyDescent="0.35">
      <c r="A82" s="159" t="s">
        <v>361</v>
      </c>
      <c r="B82" s="196" t="s">
        <v>362</v>
      </c>
      <c r="C82" s="196"/>
      <c r="D82" s="196"/>
      <c r="E82" s="196"/>
      <c r="F82" s="196"/>
      <c r="G82" s="196"/>
    </row>
    <row r="83" spans="1:15" ht="17.100000000000001" customHeight="1" x14ac:dyDescent="0.35">
      <c r="C83" s="146" t="s">
        <v>301</v>
      </c>
      <c r="D83" s="197" t="s">
        <v>363</v>
      </c>
      <c r="E83" s="197"/>
      <c r="F83" s="197"/>
      <c r="G83" s="197"/>
      <c r="I83" s="165"/>
      <c r="K83" s="165"/>
      <c r="M83" s="165"/>
      <c r="O83" s="151"/>
    </row>
    <row r="84" spans="1:15" ht="17.100000000000001" customHeight="1" x14ac:dyDescent="0.35">
      <c r="C84" s="146" t="s">
        <v>303</v>
      </c>
      <c r="D84" s="199" t="s">
        <v>364</v>
      </c>
      <c r="E84" s="199"/>
      <c r="F84" s="199"/>
      <c r="G84" s="199"/>
      <c r="H84" s="171"/>
      <c r="I84" s="165"/>
      <c r="K84" s="165"/>
      <c r="M84" s="165"/>
      <c r="O84" s="151"/>
    </row>
    <row r="85" spans="1:15" ht="17.100000000000001" customHeight="1" x14ac:dyDescent="0.35">
      <c r="C85" s="146" t="s">
        <v>305</v>
      </c>
      <c r="D85" s="197" t="s">
        <v>365</v>
      </c>
      <c r="E85" s="197"/>
      <c r="F85" s="197"/>
      <c r="G85" s="197"/>
      <c r="H85" s="171"/>
      <c r="I85" s="165"/>
      <c r="K85" s="165"/>
      <c r="M85" s="165"/>
      <c r="O85" s="151"/>
    </row>
    <row r="86" spans="1:15" ht="17.100000000000001" customHeight="1" x14ac:dyDescent="0.35">
      <c r="C86" s="146" t="s">
        <v>307</v>
      </c>
      <c r="D86" s="194" t="s">
        <v>366</v>
      </c>
      <c r="E86" s="194"/>
      <c r="F86" s="194"/>
      <c r="G86" s="194"/>
      <c r="I86" s="165"/>
      <c r="K86" s="165"/>
      <c r="M86" s="165"/>
      <c r="O86" s="153"/>
    </row>
    <row r="87" spans="1:15" ht="17.100000000000001" customHeight="1" x14ac:dyDescent="0.35">
      <c r="D87" s="194"/>
      <c r="E87" s="194"/>
      <c r="F87" s="194"/>
      <c r="G87" s="194"/>
    </row>
    <row r="88" spans="1:15" ht="17.100000000000001" customHeight="1" x14ac:dyDescent="0.35">
      <c r="A88" s="159" t="s">
        <v>361</v>
      </c>
      <c r="B88" s="200" t="s">
        <v>367</v>
      </c>
      <c r="C88" s="200"/>
      <c r="D88" s="200"/>
      <c r="E88" s="200"/>
      <c r="F88" s="200"/>
      <c r="G88" s="200"/>
    </row>
    <row r="89" spans="1:15" ht="17.100000000000001" customHeight="1" x14ac:dyDescent="0.35">
      <c r="C89" s="146" t="s">
        <v>301</v>
      </c>
      <c r="D89" s="197" t="s">
        <v>368</v>
      </c>
      <c r="E89" s="197"/>
      <c r="F89" s="197"/>
      <c r="G89" s="197"/>
      <c r="I89" s="165"/>
      <c r="K89" s="165"/>
      <c r="M89" s="165"/>
      <c r="O89" s="151"/>
    </row>
    <row r="90" spans="1:15" ht="17.100000000000001" customHeight="1" x14ac:dyDescent="0.35">
      <c r="E90" s="146" t="s">
        <v>369</v>
      </c>
      <c r="F90" s="197" t="s">
        <v>370</v>
      </c>
      <c r="G90" s="197"/>
      <c r="I90" s="165"/>
      <c r="K90" s="165"/>
      <c r="M90" s="165"/>
      <c r="O90" s="153"/>
    </row>
    <row r="91" spans="1:15" ht="17.100000000000001" customHeight="1" x14ac:dyDescent="0.35">
      <c r="E91" s="146" t="s">
        <v>371</v>
      </c>
      <c r="F91" s="197" t="s">
        <v>372</v>
      </c>
      <c r="G91" s="197"/>
      <c r="I91" s="165"/>
      <c r="K91" s="165"/>
      <c r="M91" s="165"/>
      <c r="O91" s="151"/>
    </row>
    <row r="92" spans="1:15" ht="17.100000000000001" customHeight="1" x14ac:dyDescent="0.35">
      <c r="C92" s="146" t="s">
        <v>303</v>
      </c>
      <c r="D92" s="197" t="s">
        <v>373</v>
      </c>
      <c r="E92" s="197"/>
      <c r="F92" s="197"/>
      <c r="G92" s="197"/>
      <c r="I92" s="165"/>
      <c r="K92" s="165"/>
      <c r="M92" s="165"/>
      <c r="O92" s="151"/>
    </row>
    <row r="93" spans="1:15" ht="17.100000000000001" customHeight="1" x14ac:dyDescent="0.35">
      <c r="E93" s="146" t="s">
        <v>369</v>
      </c>
      <c r="F93" s="197" t="s">
        <v>374</v>
      </c>
      <c r="G93" s="197"/>
      <c r="I93" s="165"/>
      <c r="K93" s="165"/>
      <c r="M93" s="165"/>
      <c r="O93" s="153"/>
    </row>
    <row r="94" spans="1:15" ht="17.100000000000001" customHeight="1" x14ac:dyDescent="0.35">
      <c r="E94" s="146" t="s">
        <v>371</v>
      </c>
      <c r="F94" s="197" t="s">
        <v>375</v>
      </c>
      <c r="G94" s="197"/>
      <c r="I94" s="165"/>
      <c r="K94" s="165"/>
      <c r="M94" s="165"/>
      <c r="O94" s="151"/>
    </row>
    <row r="95" spans="1:15" ht="17.100000000000001" customHeight="1" x14ac:dyDescent="0.35">
      <c r="E95" s="146" t="s">
        <v>376</v>
      </c>
      <c r="F95" s="197" t="s">
        <v>377</v>
      </c>
      <c r="G95" s="197"/>
      <c r="I95" s="165"/>
      <c r="K95" s="165"/>
      <c r="M95" s="165"/>
      <c r="O95" s="153"/>
    </row>
    <row r="96" spans="1:15" ht="17.100000000000001" customHeight="1" x14ac:dyDescent="0.35">
      <c r="C96" s="146" t="s">
        <v>305</v>
      </c>
      <c r="D96" s="197" t="s">
        <v>378</v>
      </c>
      <c r="E96" s="197"/>
      <c r="F96" s="197"/>
      <c r="G96" s="197"/>
      <c r="I96" s="165"/>
      <c r="K96" s="165"/>
      <c r="M96" s="165"/>
      <c r="O96" s="151"/>
    </row>
    <row r="97" spans="1:15" ht="17.100000000000001" customHeight="1" x14ac:dyDescent="0.35">
      <c r="E97" s="146" t="s">
        <v>369</v>
      </c>
      <c r="F97" s="197" t="s">
        <v>379</v>
      </c>
      <c r="G97" s="197"/>
      <c r="I97" s="165"/>
      <c r="K97" s="165"/>
      <c r="M97" s="165"/>
      <c r="O97" s="153"/>
    </row>
    <row r="98" spans="1:15" ht="17.100000000000001" customHeight="1" x14ac:dyDescent="0.35">
      <c r="E98" s="146" t="s">
        <v>371</v>
      </c>
      <c r="F98" s="197" t="s">
        <v>380</v>
      </c>
      <c r="G98" s="197"/>
      <c r="I98" s="165"/>
      <c r="K98" s="165"/>
      <c r="M98" s="165"/>
      <c r="O98" s="151"/>
    </row>
    <row r="99" spans="1:15" ht="17.100000000000001" customHeight="1" x14ac:dyDescent="0.35"/>
    <row r="100" spans="1:15" ht="17.100000000000001" customHeight="1" x14ac:dyDescent="0.35"/>
    <row r="101" spans="1:15" ht="17.100000000000001" hidden="1" customHeight="1" x14ac:dyDescent="0.35">
      <c r="F101" s="172" t="s">
        <v>381</v>
      </c>
      <c r="J101" s="151" t="s">
        <v>382</v>
      </c>
      <c r="K101" s="151"/>
    </row>
    <row r="102" spans="1:15" ht="17.100000000000001" hidden="1" customHeight="1" x14ac:dyDescent="0.35">
      <c r="F102" s="172"/>
    </row>
    <row r="103" spans="1:15" ht="17.100000000000001" hidden="1" customHeight="1" x14ac:dyDescent="0.35">
      <c r="A103" s="193" t="s">
        <v>383</v>
      </c>
      <c r="B103" s="193"/>
      <c r="C103" s="193"/>
      <c r="D103" s="193"/>
      <c r="E103" s="193"/>
      <c r="F103" s="193"/>
      <c r="G103" s="193"/>
      <c r="H103" s="193"/>
      <c r="I103" s="193"/>
      <c r="J103" s="157"/>
      <c r="K103" s="157"/>
      <c r="L103" s="157"/>
      <c r="M103" s="157"/>
      <c r="N103" s="157"/>
      <c r="O103" s="157"/>
    </row>
    <row r="104" spans="1:15" ht="17.100000000000001" hidden="1" customHeight="1" x14ac:dyDescent="0.35">
      <c r="A104" s="196"/>
      <c r="B104" s="196"/>
      <c r="C104" s="196"/>
      <c r="J104" s="149" t="s">
        <v>53</v>
      </c>
      <c r="K104" s="151"/>
      <c r="L104" s="151"/>
      <c r="M104" s="151"/>
      <c r="N104" s="151"/>
      <c r="O104" s="151"/>
    </row>
    <row r="105" spans="1:15" ht="17.100000000000001" hidden="1" customHeight="1" x14ac:dyDescent="0.35">
      <c r="J105" s="149" t="s">
        <v>384</v>
      </c>
      <c r="K105" s="153"/>
      <c r="L105" s="153"/>
      <c r="M105" s="153"/>
      <c r="N105" s="153"/>
      <c r="O105" s="153"/>
    </row>
    <row r="106" spans="1:15" ht="17.100000000000001" hidden="1" customHeight="1" x14ac:dyDescent="0.35">
      <c r="J106" s="149" t="s">
        <v>152</v>
      </c>
      <c r="K106" s="153"/>
      <c r="L106" s="153"/>
      <c r="M106" s="153"/>
      <c r="N106" s="153"/>
      <c r="O106" s="153"/>
    </row>
    <row r="107" spans="1:15" ht="17.100000000000001" hidden="1" customHeight="1" x14ac:dyDescent="0.35">
      <c r="J107" s="149" t="s">
        <v>153</v>
      </c>
      <c r="K107" s="153"/>
      <c r="L107" s="153"/>
      <c r="M107" s="153"/>
      <c r="N107" s="153"/>
      <c r="O107" s="153"/>
    </row>
    <row r="108" spans="1:15" ht="17.100000000000001" hidden="1" customHeight="1" x14ac:dyDescent="0.35">
      <c r="J108" s="149" t="s">
        <v>385</v>
      </c>
      <c r="K108" s="153"/>
      <c r="L108" s="153"/>
      <c r="M108" s="153"/>
      <c r="N108" s="153"/>
      <c r="O108" s="153"/>
    </row>
    <row r="109" spans="1:15" ht="17.100000000000001" hidden="1" customHeight="1" x14ac:dyDescent="0.35"/>
    <row r="110" spans="1:15" ht="17.100000000000001" customHeight="1" x14ac:dyDescent="0.35"/>
  </sheetData>
  <mergeCells count="47">
    <mergeCell ref="D96:G96"/>
    <mergeCell ref="F97:G97"/>
    <mergeCell ref="F98:G98"/>
    <mergeCell ref="A103:I103"/>
    <mergeCell ref="A104:C104"/>
    <mergeCell ref="F95:G95"/>
    <mergeCell ref="D84:G84"/>
    <mergeCell ref="D85:G85"/>
    <mergeCell ref="D86:G86"/>
    <mergeCell ref="D87:G87"/>
    <mergeCell ref="B88:G88"/>
    <mergeCell ref="D89:G89"/>
    <mergeCell ref="F90:G90"/>
    <mergeCell ref="F91:G91"/>
    <mergeCell ref="D92:G92"/>
    <mergeCell ref="F93:G93"/>
    <mergeCell ref="F94:G94"/>
    <mergeCell ref="D83:G83"/>
    <mergeCell ref="B62:G62"/>
    <mergeCell ref="B65:G65"/>
    <mergeCell ref="B67:G67"/>
    <mergeCell ref="D68:G68"/>
    <mergeCell ref="D69:G69"/>
    <mergeCell ref="D70:G70"/>
    <mergeCell ref="D71:G71"/>
    <mergeCell ref="D72:G72"/>
    <mergeCell ref="D73:G73"/>
    <mergeCell ref="D74:G74"/>
    <mergeCell ref="B82:G82"/>
    <mergeCell ref="C60:F60"/>
    <mergeCell ref="B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B59:G59"/>
    <mergeCell ref="B1:O1"/>
    <mergeCell ref="I3:K3"/>
    <mergeCell ref="I9:K9"/>
    <mergeCell ref="I10:K10"/>
    <mergeCell ref="B11:D11"/>
    <mergeCell ref="I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 429 Directions</vt:lpstr>
      <vt:lpstr>Form 429 Example</vt:lpstr>
      <vt:lpstr>Form 429 Blank</vt:lpstr>
      <vt:lpstr>CP52 Checklist</vt:lpstr>
      <vt:lpstr>'Form 429 Blank'!Print_Area</vt:lpstr>
      <vt:lpstr>'Form 429 Example'!Print_Area</vt:lpstr>
    </vt:vector>
  </TitlesOfParts>
  <Company>Colorado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gilbertk</dc:creator>
  <cp:lastModifiedBy>Trujillo, Edward A</cp:lastModifiedBy>
  <cp:lastPrinted>2018-05-18T15:08:59Z</cp:lastPrinted>
  <dcterms:created xsi:type="dcterms:W3CDTF">2000-09-27T22:48:31Z</dcterms:created>
  <dcterms:modified xsi:type="dcterms:W3CDTF">2023-06-07T17:36:52Z</dcterms:modified>
</cp:coreProperties>
</file>